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cellimages.xml" ContentType="application/vnd.wps-officedocument.cellimag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623"/>
  <workbookPr/>
  <mc:AlternateContent xmlns:mc="http://schemas.openxmlformats.org/markup-compatibility/2006">
    <mc:Choice Requires="x15">
      <x15ac:absPath xmlns:x15ac="http://schemas.microsoft.com/office/spreadsheetml/2010/11/ac" url="D:\workspace\DeliveryFeeCalculator\doc\"/>
    </mc:Choice>
  </mc:AlternateContent>
  <xr:revisionPtr revIDLastSave="0" documentId="13_ncr:1_{CF7C2161-BBC3-4F00-BC9C-B2F8900E5382}" xr6:coauthVersionLast="47" xr6:coauthVersionMax="47" xr10:uidLastSave="{00000000-0000-0000-0000-000000000000}"/>
  <bookViews>
    <workbookView xWindow="57480" yWindow="-120" windowWidth="29040" windowHeight="15720" xr2:uid="{00000000-000D-0000-FFFF-FFFF00000000}"/>
  </bookViews>
  <sheets>
    <sheet name="垫板-四脚-六脚" sheetId="1" r:id="rId1"/>
    <sheet name="平板九脚" sheetId="9" r:id="rId2"/>
    <sheet name="网格九脚" sheetId="10" r:id="rId3"/>
    <sheet name="网格川字" sheetId="8" r:id="rId4"/>
    <sheet name="网格田字" sheetId="12" r:id="rId5"/>
    <sheet name="网格双面" sheetId="13" r:id="rId6"/>
    <sheet name="吹塑" sheetId="14" r:id="rId7"/>
    <sheet name="防渗漏" sheetId="11" r:id="rId8"/>
    <sheet name="快递" sheetId="15" r:id="rId9"/>
    <sheet name="快运" sheetId="16" r:id="rId1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31" i="11" l="1"/>
  <c r="A29" i="11"/>
  <c r="A28" i="11"/>
  <c r="A27" i="11"/>
  <c r="A26" i="11"/>
  <c r="A25" i="11"/>
  <c r="A24" i="11"/>
  <c r="A23" i="11"/>
  <c r="A22" i="11"/>
  <c r="A21" i="11"/>
  <c r="A20" i="11"/>
  <c r="A19" i="11"/>
  <c r="A18" i="11"/>
  <c r="A17" i="11"/>
  <c r="A16" i="11"/>
  <c r="A15" i="11"/>
  <c r="A14" i="11"/>
  <c r="A13" i="11"/>
  <c r="A11" i="11"/>
  <c r="A9" i="11"/>
  <c r="A8" i="11"/>
  <c r="A6" i="11"/>
  <c r="A5" i="11"/>
  <c r="A4" i="11"/>
  <c r="A2" i="11"/>
  <c r="A50" i="14"/>
  <c r="A49" i="14"/>
  <c r="A41" i="14"/>
  <c r="A35" i="14"/>
  <c r="A27" i="14"/>
  <c r="A20" i="14"/>
  <c r="A17" i="14"/>
  <c r="A13" i="14"/>
  <c r="A9" i="14"/>
  <c r="A4" i="14"/>
  <c r="A3" i="14"/>
  <c r="A2" i="14"/>
  <c r="A21" i="13"/>
  <c r="A20" i="13"/>
  <c r="A19" i="13"/>
  <c r="A18" i="13"/>
  <c r="A17" i="13"/>
  <c r="A16" i="13"/>
  <c r="A15" i="13"/>
  <c r="A11" i="13"/>
  <c r="A10" i="13"/>
  <c r="A8" i="13"/>
  <c r="A7" i="13"/>
  <c r="A6" i="13"/>
  <c r="A5" i="13"/>
  <c r="A4" i="13"/>
  <c r="A3" i="13"/>
  <c r="A13" i="12"/>
  <c r="A12" i="12"/>
  <c r="A11" i="12"/>
  <c r="A10" i="12"/>
  <c r="A9" i="12"/>
  <c r="A8" i="12"/>
  <c r="A7" i="12"/>
  <c r="A6" i="12"/>
  <c r="A5" i="12"/>
  <c r="A4" i="12"/>
  <c r="A3" i="12"/>
  <c r="A39" i="8"/>
  <c r="A38" i="8"/>
  <c r="A37" i="8"/>
  <c r="A36" i="8"/>
  <c r="A35" i="8"/>
  <c r="A34" i="8"/>
  <c r="A33" i="8"/>
  <c r="A32" i="8"/>
  <c r="A31" i="8"/>
  <c r="A26" i="8"/>
  <c r="A24" i="8"/>
  <c r="A22" i="8"/>
  <c r="A21" i="8"/>
  <c r="A20" i="8"/>
  <c r="A19" i="8"/>
  <c r="A18" i="8"/>
  <c r="A17" i="8"/>
  <c r="A16" i="8"/>
  <c r="A15" i="8"/>
  <c r="A14" i="8"/>
  <c r="A13" i="8"/>
  <c r="A12" i="8"/>
  <c r="A11" i="8"/>
  <c r="A10" i="8"/>
  <c r="A9" i="8"/>
  <c r="A8" i="8"/>
  <c r="A7" i="8"/>
  <c r="A6" i="8"/>
  <c r="A5" i="8"/>
  <c r="A4" i="8"/>
  <c r="A3" i="8"/>
  <c r="A25" i="10"/>
  <c r="A24" i="10"/>
  <c r="A23" i="10"/>
  <c r="A22" i="10"/>
  <c r="A21" i="10"/>
  <c r="A20" i="10"/>
  <c r="A19" i="10"/>
  <c r="A15" i="10"/>
  <c r="A14" i="10"/>
  <c r="A13" i="10"/>
  <c r="A12" i="10"/>
  <c r="A11" i="10"/>
  <c r="A10" i="10"/>
  <c r="A9" i="10"/>
  <c r="A8" i="10"/>
  <c r="A6" i="10"/>
  <c r="A5" i="10"/>
  <c r="A4" i="10"/>
  <c r="A22" i="9"/>
  <c r="A21" i="9"/>
  <c r="A20" i="9"/>
  <c r="A19" i="9"/>
  <c r="A18" i="9"/>
  <c r="A17" i="9"/>
  <c r="A16" i="9"/>
  <c r="A15" i="9"/>
  <c r="A14" i="9"/>
  <c r="A13" i="9"/>
  <c r="A12" i="9"/>
  <c r="A11" i="9"/>
  <c r="A10" i="9"/>
  <c r="A9" i="9"/>
  <c r="A8" i="9"/>
  <c r="A7" i="9"/>
  <c r="A6" i="9"/>
  <c r="A5" i="9"/>
  <c r="A4" i="9"/>
  <c r="A3" i="9"/>
  <c r="A67" i="1"/>
  <c r="A66" i="1"/>
  <c r="A65" i="1"/>
  <c r="A64" i="1"/>
  <c r="A63" i="1"/>
  <c r="A62" i="1"/>
  <c r="A61" i="1"/>
  <c r="A59" i="1"/>
  <c r="A57" i="1"/>
  <c r="A56" i="1"/>
  <c r="A55" i="1"/>
  <c r="A54" i="1"/>
  <c r="A52" i="1"/>
  <c r="A51" i="1"/>
  <c r="A50" i="1"/>
  <c r="A49" i="1"/>
  <c r="A48" i="1"/>
  <c r="A47" i="1"/>
  <c r="A46" i="1"/>
  <c r="A45" i="1"/>
  <c r="A37" i="1"/>
  <c r="A33" i="1"/>
  <c r="A28" i="1"/>
  <c r="A24" i="1"/>
  <c r="A19" i="1"/>
  <c r="A11" i="1"/>
  <c r="A2" i="1"/>
</calcChain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41" name="ID_04DCB2B742644F9A8112C00546DD60AF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33680" y="4584700"/>
          <a:ext cx="54419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1C8ED1CCA70E4864B44FAE26F702EF9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28600" y="6743700"/>
          <a:ext cx="55689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8C3950757A3747A68E225CE6A10AF5B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31775" y="11572875"/>
          <a:ext cx="557530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46BFC44E2A484FAABD9F6CF1E3C569C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35585" y="9918700"/>
          <a:ext cx="54165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A8B992517CC7473E859DEE1C014C470A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33680" y="12712700"/>
          <a:ext cx="544830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0864C51A68FD493F9BADABDBBA1921C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31775" y="13858875"/>
          <a:ext cx="557530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044B134D3F6D4273AC2381557E3535A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27330" y="16903700"/>
          <a:ext cx="558800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9E55AB85037D4004BADC1079BE4F1AB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04800" y="24530050"/>
          <a:ext cx="53149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" name="ID_57F934D3F1D54CB9823C910AC67B494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04800" y="25165050"/>
          <a:ext cx="53149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" name="ID_61ACD149B7204B5FB8A71ACD8D834B0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04800" y="26435050"/>
          <a:ext cx="53149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" name="ID_6C014512E09E4B9AA3BE5BBE9A729BD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04800" y="25800050"/>
          <a:ext cx="53149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" name="ID_36355CB4FA274918B7C8141F281A60B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04800" y="27070050"/>
          <a:ext cx="53149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7C37B4B204574001BD063D5922D8F4E6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04800" y="28340050"/>
          <a:ext cx="53149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" name="ID_AD6B0A14339640049615DE7F584E7D80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04800" y="27705050"/>
          <a:ext cx="53149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B90043B053E143EE933FD3AAA08BEF6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02895" y="11068050"/>
          <a:ext cx="53467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16DA4FFED8F34562B2CFACE3EB696F7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8900" y="9591040"/>
          <a:ext cx="551180" cy="546100"/>
        </a:xfrm>
        <a:prstGeom prst="rect">
          <a:avLst/>
        </a:prstGeom>
        <a:noFill/>
        <a:ln w="9525">
          <a:solidFill>
            <a:sysClr val="windowText" lastClr="000000"/>
          </a:solidFill>
        </a:ln>
      </xdr:spPr>
    </xdr:pic>
  </etc:cellImage>
  <etc:cellImage>
    <xdr:pic>
      <xdr:nvPicPr>
        <xdr:cNvPr id="36" name="ID_43A08CADDBFA45B6BCC5186907B3571C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8900" y="12131040"/>
          <a:ext cx="551180" cy="546100"/>
        </a:xfrm>
        <a:prstGeom prst="rect">
          <a:avLst/>
        </a:prstGeom>
        <a:noFill/>
        <a:ln w="9525">
          <a:solidFill>
            <a:sysClr val="windowText" lastClr="000000"/>
          </a:solidFill>
        </a:ln>
      </xdr:spPr>
    </xdr:pic>
  </etc:cellImage>
  <etc:cellImage>
    <xdr:pic>
      <xdr:nvPicPr>
        <xdr:cNvPr id="37" name="ID_59D127890C214AA0AE181931CA10703E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9850" y="13715365"/>
          <a:ext cx="564515" cy="54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63443941236840488C50355049BC6B0E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9850" y="16255365"/>
          <a:ext cx="564515" cy="54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FFD96659A0D440DC98F489FB2A3247C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9850" y="14985365"/>
          <a:ext cx="564515" cy="54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8C11FDD0EF054527B2127E2F3B1BC6E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9850" y="1650365"/>
          <a:ext cx="564515" cy="546100"/>
        </a:xfrm>
        <a:prstGeom prst="rect">
          <a:avLst/>
        </a:prstGeom>
        <a:noFill/>
        <a:ln w="9525">
          <a:solidFill>
            <a:sysClr val="windowText" lastClr="000000"/>
          </a:solidFill>
        </a:ln>
      </xdr:spPr>
    </xdr:pic>
  </etc:cellImage>
  <etc:cellImage>
    <xdr:pic>
      <xdr:nvPicPr>
        <xdr:cNvPr id="4" name="ID_F3F05DB9535D412396089F61939EA8B1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02895" y="4083050"/>
          <a:ext cx="53467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8F4F34FC43814A7DA79494872F26008C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9850" y="5460365"/>
          <a:ext cx="564515" cy="546100"/>
        </a:xfrm>
        <a:prstGeom prst="rect">
          <a:avLst/>
        </a:prstGeom>
        <a:noFill/>
        <a:ln w="9525">
          <a:solidFill>
            <a:sysClr val="windowText" lastClr="000000"/>
          </a:solidFill>
        </a:ln>
      </xdr:spPr>
    </xdr:pic>
  </etc:cellImage>
  <etc:cellImage>
    <xdr:pic>
      <xdr:nvPicPr>
        <xdr:cNvPr id="6" name="ID_D0B9E859C7FC4FDAB9D08EE45CFBBCBF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02895" y="4718050"/>
          <a:ext cx="53467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D563A2272B744DABBED5EC4BDC2FD337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9850" y="7365365"/>
          <a:ext cx="564515" cy="546100"/>
        </a:xfrm>
        <a:prstGeom prst="rect">
          <a:avLst/>
        </a:prstGeom>
        <a:noFill/>
        <a:ln w="9525">
          <a:solidFill>
            <a:sysClr val="windowText" lastClr="000000"/>
          </a:solidFill>
        </a:ln>
      </xdr:spPr>
    </xdr:pic>
  </etc:cellImage>
  <etc:cellImage>
    <xdr:pic>
      <xdr:nvPicPr>
        <xdr:cNvPr id="8" name="ID_EE365DC242BF40F799541733A746C3F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0" y="22520275"/>
          <a:ext cx="5895975" cy="5876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EC9CF75EBBF84D899E6148A231F920CF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0" y="30892750"/>
          <a:ext cx="5648325" cy="563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CCA001658F0A46C3A5E2327AC2E08C2A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9050" y="2722245"/>
          <a:ext cx="548640" cy="54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" name="ID_3589FEA53A314CD0B2A5F72F4D3C6CE8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9050" y="43116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7" name="ID_A0CCD4AB04674371B67F436C543B391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39700" y="633730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8" name="ID_7783538B5B5048019A9D2D43FB5B03B9"/>
        <xdr:cNvPicPr>
          <a:picLocks noChangeAspect="1"/>
        </xdr:cNvPicPr>
      </xdr:nvPicPr>
      <xdr:blipFill>
        <a:blip r:embed="rId31" r:link="rId32"/>
        <a:stretch>
          <a:fillRect/>
        </a:stretch>
      </xdr:blipFill>
      <xdr:spPr>
        <a:xfrm>
          <a:off x="19050" y="7486650"/>
          <a:ext cx="539750" cy="5397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" name="ID_ACD468457F004F758EBFEFA75EE3C75F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9050" y="68516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" name="ID_5D587B427448477099F35E454BF6409A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9050" y="93916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9" name="ID_94F5E5A36BDB45A59E0D22EBDFA62DBB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9050" y="25187910"/>
          <a:ext cx="545465" cy="5435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1" name="ID_F6DDA17EF31C4DC68AC75F445A97AEE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9050" y="27725370"/>
          <a:ext cx="545465" cy="5435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" name="ID_4072BCC105384D1289CDF62036DFC5FF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9050" y="106616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" name="ID_851AC261917840DA9631CD2F24EC9A67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9050" y="13361035"/>
          <a:ext cx="545465" cy="542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" name="ID_DDFA7580F42B458F9DC12FFD8F047245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9050" y="119316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" name="ID_ECA399CFA1E9443F9DB1755B86E8F6ED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9050" y="14786610"/>
          <a:ext cx="556895" cy="55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" name="ID_FD9C4A8422BE4E28BC5780034AFD7B38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9050" y="16179165"/>
          <a:ext cx="560070" cy="55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" name="ID_358087442C774E26A62E551FA8A2576A" descr="110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9050" y="17563465"/>
          <a:ext cx="530225" cy="539750"/>
        </a:xfrm>
        <a:prstGeom prst="rect">
          <a:avLst/>
        </a:prstGeom>
      </xdr:spPr>
    </xdr:pic>
  </etc:cellImage>
  <etc:cellImage>
    <xdr:pic>
      <xdr:nvPicPr>
        <xdr:cNvPr id="75" name="ID_34D3FF73A76A4B01A1E1F2AEA07BA3CD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9050" y="18839180"/>
          <a:ext cx="545465" cy="5435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6" name="ID_BF702FCAE64E4DFDB5555926B37157D1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9050" y="20613370"/>
          <a:ext cx="555625" cy="55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7" name="ID_1C5E28678AF94F0DAA74BEE6788CAEF0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9050" y="22522180"/>
          <a:ext cx="556260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8" name="ID_6329CEDFD2604A4390BC56AFD30659F4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9050" y="23916640"/>
          <a:ext cx="556895" cy="55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0" name="ID_B349200D42F54233A8C2AC63FD1DFC5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9050" y="26456640"/>
          <a:ext cx="545465" cy="5435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2" name="ID_52FC218D3C0C475486A8B3F9E0CD3D73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9050" y="2899537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0" name="ID_88619DF1DC2D451AAB942055CD042344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9050" y="3662426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9F18C8DC1A3843D1854FBCD5509AD1ED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270" y="48925480"/>
          <a:ext cx="540385" cy="542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A0AF5A03204545B49F3E93C19960F589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9050" y="3154553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D6EF586B96F44CC4AA48F945E6CFFA86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9050" y="3281553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9" name="ID_87C96F2B28EA42288C470C3A5F5FA601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9050" y="3408553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603B35A95B62492384B3667C82EE450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9050" y="35354260"/>
          <a:ext cx="545465" cy="5435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599BDE2E4D134A29923C5B6B388F63AC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220345" y="4679823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81450AF702174BA1BCF7D244C2A4894C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9050" y="3789426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1" name="ID_933E1510C24C4EAE96EC208A080207BC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9050" y="3916426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5" name="ID_F6E77249CDEB4EC892945112DC42CAE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90170" y="6115050"/>
          <a:ext cx="57213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0" name="ID_471DBE86B7E64235BAA2792B9D7B2AA6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80010" y="9394190"/>
          <a:ext cx="560705" cy="55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8" name="ID_2901C1ADF434487E89809D04EAB8F7AF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03505" y="7131050"/>
          <a:ext cx="546735" cy="542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1" name="ID_0927757EA3F9464A8D132A68A7DDBA7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00330" y="11703050"/>
          <a:ext cx="549910" cy="542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2" name="ID_4237BBE31684445C9A8B1F91AEB1FF84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00330" y="12719050"/>
          <a:ext cx="549910" cy="542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3" name="ID_22B9FF594612422899B259DF2EA7E46B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92075" y="13973810"/>
          <a:ext cx="544195" cy="542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4" name="ID_961E8EA4B62D48329D0380A3647C1D42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81915" y="15487015"/>
          <a:ext cx="558800" cy="55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5" name="ID_42945D71C1ED46EB81F5EDD13DA2DAEA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99060" y="17392015"/>
          <a:ext cx="53657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6" name="ID_3E3F5B9245D14090A1359E1430A5511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15570" y="19069050"/>
          <a:ext cx="53276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7" name="ID_F11E45AEA9B34D26B45728A742A0095E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00965" y="20948015"/>
          <a:ext cx="534670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8" name="ID_916F24E58B34474496581B5E622206DD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81915" y="25393015"/>
          <a:ext cx="558800" cy="55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9" name="ID_E90A2C91D1594A07BD7B9388A5B7BB64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93345" y="28975050"/>
          <a:ext cx="56832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0" name="ID_8AD2DBEC0C27426EBEA24D00C321AF2B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93345" y="29991050"/>
          <a:ext cx="56832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1" name="ID_873FAB5618A44475B7C8FFB24B99DF3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93345" y="31007050"/>
          <a:ext cx="56832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2" name="ID_5C7E3787A0E04390A2E2E037B2087D45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90170" y="32023050"/>
          <a:ext cx="57213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3" name="ID_3A51ADF2DEE143CD83B586318B2B51C0" descr="131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12395" y="33039050"/>
          <a:ext cx="536575" cy="539750"/>
        </a:xfrm>
        <a:prstGeom prst="rect">
          <a:avLst/>
        </a:prstGeom>
      </xdr:spPr>
    </xdr:pic>
  </etc:cellImage>
  <etc:cellImage>
    <xdr:pic>
      <xdr:nvPicPr>
        <xdr:cNvPr id="214" name="ID_EF54AE0A50CD4B7D92E3434867677A7C" descr="1412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12395" y="34055050"/>
          <a:ext cx="536575" cy="539750"/>
        </a:xfrm>
        <a:prstGeom prst="rect">
          <a:avLst/>
        </a:prstGeom>
      </xdr:spPr>
    </xdr:pic>
  </etc:cellImage>
  <etc:cellImage>
    <xdr:pic>
      <xdr:nvPicPr>
        <xdr:cNvPr id="215" name="ID_7770841EFD3F4081ADB7378A797C052D" descr="1413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12395" y="35071050"/>
          <a:ext cx="536575" cy="539750"/>
        </a:xfrm>
        <a:prstGeom prst="rect">
          <a:avLst/>
        </a:prstGeom>
      </xdr:spPr>
    </xdr:pic>
  </etc:cellImage>
  <etc:cellImage>
    <xdr:pic>
      <xdr:nvPicPr>
        <xdr:cNvPr id="235" name="ID_F1E68E31503E4742A675C698617D6A89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233045" y="781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6" name="ID_776C7B94EC7D4405B35487042D7DB410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233045" y="1543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9" name="ID_931A853C62A54C38A3FC5B4849279415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233045" y="3829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5" name="ID_E6E0284C4A99455A8D6D41A7B437645A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40640" y="5353050"/>
          <a:ext cx="54292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4" name="ID_B5C3CF16AC734333855C6467A4C9F0EE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39700" y="430657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7" name="ID_023035CAF5574131B89F58EC93650C56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233045" y="2305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4" name="ID_75B79E951EF74ECCA9FD9DD8DADAA2D0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42545" y="9163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0" name="ID_56D5AA2CD170464CB33A90F2227C0594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233045" y="4591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1" name="ID_0E2D18FC394C4D9DADEA0EC3597015DA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42545" y="5353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1" name="ID_5CC9410A25344B43AE9FB67548513827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233045" y="5353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3" name="ID_AEECD5B4D64C40AE918E04F4767D340B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42545" y="6877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3" name="ID_B45E48103AA34FCDAF00901E85808A30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233045" y="6877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6" name="ID_039ECE7408C84993909D239E50AAA4C0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381000" y="1143952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2" name="ID_0E52690A62EC4FC9BAA4FB92A1CFBF65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42545" y="6877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8" name="ID_A3F3DB94797842569B169DD8C5FD3BD8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95885" y="1093089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2" name="ID_0DBC77AC7E614234859DCA1331BF52D1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39700" y="849757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7" name="ID_C6222C5FCC314F5C9E1D93C0830695E1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116205" y="14611350"/>
          <a:ext cx="54292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4" name="ID_4EB113CE1A44421F8452E6F94A2CA6D7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233045" y="7639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8" name="ID_7A8F8C98078E4991B75A7B4F557EA858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219075" y="16887825"/>
          <a:ext cx="54165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5" name="ID_7F4427BBC2B8499BBBAEEBA85CF6D69F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233045" y="8401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6" name="ID_7B185E0933AD41D89B898C3E53DFB058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233045" y="9163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9" name="ID_51BC2D76B5D449E8B8D70C77CAE0807D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229235" y="1835467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7" name="ID_8351395745D04BC29C58608C982CAD2D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233045" y="9925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0" name="ID_BE859B05BA274BF6BDC2E6C8FB1576E1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91135" y="20754975"/>
          <a:ext cx="544195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9" name="ID_F1F6993D18C74C0C862FD2716EF3E768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233045" y="12211050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7" name="ID_021D4970777B48F09763AD6E3487EF05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19050" y="12181205"/>
          <a:ext cx="544195" cy="54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1" name="ID_5B7D80D494A04243A76DBF1B8D7967B5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92710" y="1653540"/>
          <a:ext cx="543560" cy="5435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3" name="ID_CCEB0E9E453E495EB111E0AECD580B6E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95885" y="419544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3" name="ID_129717C2DC8B4777AEF20508E26E9FBD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0" y="762000"/>
          <a:ext cx="4324350" cy="4314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2" name="ID_697876AD42354179BCD7CD00D24DAA13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92710" y="2922270"/>
          <a:ext cx="543560" cy="5435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4" name="ID_56A24518D4F64D5CA93A8140BE80BC29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93345" y="5461000"/>
          <a:ext cx="542925" cy="54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5" name="ID_1325DA393FD44D76AD244114AE086793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0" y="1524000"/>
          <a:ext cx="4305300" cy="4267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6" name="ID_752C274B160F4AE9A253D7F08CDBB0AC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93345" y="8001000"/>
          <a:ext cx="542925" cy="54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5" name="ID_80813C076E2E43C7ABC3FFD18EA3A171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95885" y="673544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7" name="ID_B1DDDCA2677444389131C6E230B32F88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95885" y="927544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8" name="ID_B2882EA549A24E82BE26BAB0918E1910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95885" y="1054544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4" name="ID_E781AEE358064038A3DB363FE1515EDC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0" y="1143000"/>
          <a:ext cx="4324350" cy="4352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9" name="ID_0163D6EA06554594A80B8D10A7632AAD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3143250" y="1905000"/>
          <a:ext cx="4295775" cy="4305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1" name="ID_CB7CFCD1E26E4043A63DC918B95D4976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0" y="2286000"/>
          <a:ext cx="4286250" cy="4295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2" name="ID_E174AFA4CD2E48FF87AB9AE3FACA5708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0" y="2667000"/>
          <a:ext cx="4295775" cy="4295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6" name="ID_7C303A800B2446318ABCBE0905A6F3C1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0" y="3048000"/>
          <a:ext cx="4286250" cy="4276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3" name="ID_AB4F5D000C834025A547E060C26F4802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95885" y="87693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4" name="ID_6AFCAA23312145FE8D7F8EE6A0D5CE46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95885" y="214693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6" name="ID_0068CABA57994D7EADF7A7268897882A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95885" y="468566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5" name="ID_270512AEA60A484BACD32149E29E64E3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92710" y="3412490"/>
          <a:ext cx="543560" cy="5435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7" name="ID_3856DEB3813548E8A0746CAFD5D02B6B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92710" y="6374130"/>
          <a:ext cx="543560" cy="5435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9" name="ID_7CDAD02DDCF2485EBB43FFFFB779DF94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83185" y="9157335"/>
          <a:ext cx="553720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8" name="ID_EB331D133EFF4343978B7016F8E706C7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93980" y="7642860"/>
          <a:ext cx="542290" cy="54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0" name="ID_1D4BB569763C4111BF3492A790D5BE96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84455" y="10681335"/>
          <a:ext cx="552450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1" name="ID_2BEAF4EEAED64F858D08A25931EAE75C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111760" y="11850370"/>
          <a:ext cx="548005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2" name="ID_BACA2D5CE81D4F4CAFD38A5634FC520E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84455" y="12967335"/>
          <a:ext cx="552450" cy="55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3" name="ID_AEAB30D43D7C42C09F819DA04900A444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95885" y="14251305"/>
          <a:ext cx="539750" cy="53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4" name="ID_7028C10FB76349268A94A86A54331EAD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93345" y="15516860"/>
          <a:ext cx="542925" cy="54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CA8A53690EA348C5B980AFE8DB5E0D00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0" y="5575300"/>
          <a:ext cx="5676900" cy="5438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22E519B779784042BF55FABCC69A2864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0" y="4064000"/>
          <a:ext cx="7543800" cy="6486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14594AE0660545D79518BA924F5F85B4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0" y="1524000"/>
          <a:ext cx="7477125" cy="636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E398060CD73F4A6380FE6CF8F082E067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0" y="4699000"/>
          <a:ext cx="7600950" cy="6315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9492CC211EDC4A5BBFEAE076AAAC530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0" y="7086600"/>
          <a:ext cx="7553325" cy="6467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EEA84F39F3D04089BBECF0BCE9559594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0" y="7785100"/>
          <a:ext cx="7562850" cy="6581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" name="ID_E9081EFE00CD49A98CDB19AA070FB57C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0" y="9478010"/>
          <a:ext cx="7591425" cy="6772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A4871FB25312410AB8E6BC2D58E4F293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0" y="9900920"/>
          <a:ext cx="7610475" cy="6657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" name="ID_0E30285DCB1C46609ABECBCF4E68CA90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0" y="6235700"/>
          <a:ext cx="5829300" cy="3486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" name="ID_D55501F49CB549719779C9E6F7A9D701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0" y="8957310"/>
          <a:ext cx="5991225" cy="3333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" name="ID_E140FE64FAC3438B999D55B318EEBCBD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0" y="1397000"/>
          <a:ext cx="5486400" cy="3419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1" name="ID_34DDBBDB9F044E2C8323A0E72FDFF5C6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0" y="2032000"/>
          <a:ext cx="5934075" cy="3390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2" name="ID_41508DDA4E304410A2F8C028232A0E87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0" y="2667000"/>
          <a:ext cx="5953125" cy="34575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3" name="ID_F7E25197B91243B880956DD060FFCA32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0" y="3302000"/>
          <a:ext cx="5924550" cy="3295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4" name="ID_8D8F812F104A4225A5FA6636F476CFDB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0" y="3937000"/>
          <a:ext cx="5762625" cy="3276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7" name="ID_11D4C94D39FE42EBA7606074B3824D79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0" y="4572000"/>
          <a:ext cx="5991225" cy="2943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6" name="ID_A526B50A128F44DEB87A3EB867373915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0" y="7962900"/>
          <a:ext cx="5962650" cy="2733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9" name="ID_43F4AEEEC5F2493D93A134A4A528E476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0" y="5143500"/>
          <a:ext cx="5810250" cy="3333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0" name="ID_06A043063B5D4B79A357D9E3D9A64EDB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0" y="5613400"/>
          <a:ext cx="5924550" cy="3448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1" name="ID_8DB2D9E4D16A460CB776923DAD504267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0" y="6248400"/>
          <a:ext cx="6124575" cy="2809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2" name="ID_AE7B8A3B5F7A45C69E1C25B2850A4CAD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0" y="6858000"/>
          <a:ext cx="7553325" cy="6086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3" name="ID_4F66AB61347345E89D21A1DC37ED2CE4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0" y="7493000"/>
          <a:ext cx="6067425" cy="3209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4" name="ID_0E62EF9E72934207967EF5D71F6EA5FE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0" y="9017000"/>
          <a:ext cx="6010275" cy="342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5" name="ID_15A363603B254925B1F4E6B49BCBC625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0" y="9652000"/>
          <a:ext cx="5905500" cy="3286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6" name="ID_21AF7108B08B48A5AB35472B4D0495C7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0" y="10388600"/>
          <a:ext cx="5838825" cy="3419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7" name="ID_DEBF047CD33B4FA2B0F9D26217E083B1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0" y="11023600"/>
          <a:ext cx="5734050" cy="3352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8" name="ID_B79FB7A909994F958C113EF516FFD345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0" y="11557000"/>
          <a:ext cx="6010275" cy="3600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9" name="ID_C44967DECB7C47A69CDC87251A6557A5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0" y="12192000"/>
          <a:ext cx="5743575" cy="3371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0" name="ID_8C240D1A3D5A4F32A73BD490F35271EC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0" y="12827000"/>
          <a:ext cx="5857875" cy="3333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1" name="ID_A05CC14A2D73465184DBAA0F943993CC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0" y="13462000"/>
          <a:ext cx="5905500" cy="3009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2" name="ID_DC2BD24E3BF34DE1897E1B9842849E03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0" y="14719300"/>
          <a:ext cx="6096000" cy="3676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3" name="ID_994BD1FA9AD641D5BD7242BA64B5212B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0" y="15989300"/>
          <a:ext cx="5934075" cy="345757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<sst xmlns="http://schemas.openxmlformats.org/spreadsheetml/2006/main" count="886" uniqueCount="562">
  <si>
    <t>产品图片</t>
  </si>
  <si>
    <t>上架产品</t>
  </si>
  <si>
    <t>尺寸    （cm）</t>
  </si>
  <si>
    <t>报价</t>
  </si>
  <si>
    <t>重量 （KG）</t>
  </si>
  <si>
    <t>厂家</t>
  </si>
  <si>
    <t>4040网格四脚小孔(可拼接)</t>
  </si>
  <si>
    <t>40*40*12</t>
  </si>
  <si>
    <t>志光</t>
  </si>
  <si>
    <t>5035网格四脚小孔(可拼接)</t>
  </si>
  <si>
    <t>50*35*12</t>
  </si>
  <si>
    <t>5040网格四脚小孔(可拼接)</t>
  </si>
  <si>
    <t>50*40*12</t>
  </si>
  <si>
    <t>5050网格四脚小孔(可拼接)</t>
  </si>
  <si>
    <t>50*50*12</t>
  </si>
  <si>
    <t>6040网格四脚小孔(可拼接)</t>
  </si>
  <si>
    <t>60*40*12</t>
  </si>
  <si>
    <t>6050网格四脚小孔(可拼接)</t>
  </si>
  <si>
    <t>60*50*12</t>
  </si>
  <si>
    <t>6060网格四脚小孔(可拼接)</t>
  </si>
  <si>
    <t>60*60*12</t>
  </si>
  <si>
    <t>7060网格四脚小孔(可拼接)</t>
  </si>
  <si>
    <t>70*60*12</t>
  </si>
  <si>
    <t>7070网格四脚小孔(可拼接)</t>
  </si>
  <si>
    <t>70*70*12</t>
  </si>
  <si>
    <t>3020圆孔垫板(矮脚蓝色)</t>
  </si>
  <si>
    <t>30*20*5</t>
  </si>
  <si>
    <t>兴贝</t>
  </si>
  <si>
    <t>4030圆孔垫板(矮脚蓝色)</t>
  </si>
  <si>
    <t>40*30*5</t>
  </si>
  <si>
    <t>荣鑫</t>
  </si>
  <si>
    <t>5040圆孔垫板(矮脚蓝色)</t>
  </si>
  <si>
    <t>50*40*5</t>
  </si>
  <si>
    <t>6040圆孔垫板(矮脚蓝色)</t>
  </si>
  <si>
    <t>60*40*5</t>
  </si>
  <si>
    <t>6050圆孔垫板(矮脚蓝色)</t>
  </si>
  <si>
    <t>60*50*5</t>
  </si>
  <si>
    <t>3030圆孔垫板(矮脚蓝色)</t>
  </si>
  <si>
    <t>30*30*5</t>
  </si>
  <si>
    <t>4040圆孔垫板(矮脚蓝色)</t>
  </si>
  <si>
    <t>40*40*5</t>
  </si>
  <si>
    <t>5050圆孔垫板(矮脚蓝色)</t>
  </si>
  <si>
    <t>50*50*5</t>
  </si>
  <si>
    <t>3020圆孔垫板(高脚蓝色)</t>
  </si>
  <si>
    <t>30*20*10</t>
  </si>
  <si>
    <t>0.38</t>
  </si>
  <si>
    <t>4030圆孔垫板(高脚蓝色)</t>
  </si>
  <si>
    <t>40*30*10</t>
  </si>
  <si>
    <t>5030圆孔垫板(高脚蓝色)</t>
  </si>
  <si>
    <t>50*30*10</t>
  </si>
  <si>
    <t>5040圆孔垫板(高脚蓝色)</t>
  </si>
  <si>
    <t>50*40*10</t>
  </si>
  <si>
    <t>6040圆孔垫板(高脚蓝色)</t>
  </si>
  <si>
    <t>60*40*10</t>
  </si>
  <si>
    <t>4030圆孔垫板(高脚黑色)</t>
  </si>
  <si>
    <t>5030圆孔垫板(高脚黑色)</t>
  </si>
  <si>
    <t>5040圆孔垫板(高脚黑色)</t>
  </si>
  <si>
    <t>6040圆孔垫板(高脚黑色)</t>
  </si>
  <si>
    <t>3020平面垫板(高脚蓝色)</t>
  </si>
  <si>
    <t>4030平面垫板(高脚蓝色)</t>
  </si>
  <si>
    <t>5030平面垫板(高脚蓝色)</t>
  </si>
  <si>
    <t>5040平面垫板(高脚蓝色)</t>
  </si>
  <si>
    <t>6040平面垫板(高脚蓝色)</t>
  </si>
  <si>
    <t>4030平面垫板(高脚黑色)</t>
  </si>
  <si>
    <t>5030平面垫板(高脚黑色)</t>
  </si>
  <si>
    <t>5040平面垫板(高脚黑色)</t>
  </si>
  <si>
    <t>6040平面垫板(高脚黑色)</t>
  </si>
  <si>
    <t>4030平板四脚</t>
  </si>
  <si>
    <t>40*30*12</t>
  </si>
  <si>
    <t>5030平板四脚</t>
  </si>
  <si>
    <t>50*30*12</t>
  </si>
  <si>
    <t>4040平板四脚</t>
  </si>
  <si>
    <t>5040平板四脚</t>
  </si>
  <si>
    <t>5050平板四脚</t>
  </si>
  <si>
    <t>6040平板四脚</t>
  </si>
  <si>
    <t>6050平板四脚</t>
  </si>
  <si>
    <t>6060平板四脚</t>
  </si>
  <si>
    <t>1006C方孔防潮板</t>
  </si>
  <si>
    <t>100*60*4.5</t>
  </si>
  <si>
    <t>荣新</t>
  </si>
  <si>
    <t>1005A方孔防潮板</t>
  </si>
  <si>
    <t>100*50*4.5</t>
  </si>
  <si>
    <t>1006圆孔防潮板高脚</t>
  </si>
  <si>
    <t>100*60*10</t>
  </si>
  <si>
    <t>1006圆孔防潮板矮脚</t>
  </si>
  <si>
    <t>100*60*5</t>
  </si>
  <si>
    <t>1006P-5平面防潮板</t>
  </si>
  <si>
    <t>1008P-5平面防潮板</t>
  </si>
  <si>
    <t>100*80*5</t>
  </si>
  <si>
    <t>1008Y-5圆孔网格垫板</t>
  </si>
  <si>
    <t>8040平板六脚高脚(蓝色)</t>
  </si>
  <si>
    <t>80*40*12</t>
  </si>
  <si>
    <t>8040平板六脚高脚(灰色)</t>
  </si>
  <si>
    <t>8050平板六脚高脚</t>
  </si>
  <si>
    <t>80*50*12</t>
  </si>
  <si>
    <t>9040平板六脚高脚</t>
  </si>
  <si>
    <t>90*40*12</t>
  </si>
  <si>
    <t>9050平板六脚高脚</t>
  </si>
  <si>
    <t>90*50*12</t>
  </si>
  <si>
    <t>1004平板六脚高脚(蓝色)</t>
  </si>
  <si>
    <t>100*40*12</t>
  </si>
  <si>
    <t>1004平板六脚高脚(黑色)</t>
  </si>
  <si>
    <t>1005平板六脚高脚</t>
  </si>
  <si>
    <t>100*50*13</t>
  </si>
  <si>
    <t>1005S平板六脚高脚</t>
  </si>
  <si>
    <t>100*50*14CM</t>
  </si>
  <si>
    <t>1006平板六脚高脚</t>
  </si>
  <si>
    <t>100*60*13</t>
  </si>
  <si>
    <t>1006S平板六脚高脚</t>
  </si>
  <si>
    <t>100*60*14</t>
  </si>
  <si>
    <t>1007平板六脚高脚</t>
  </si>
  <si>
    <t>100*70*13</t>
  </si>
  <si>
    <t>1005平板六脚矮脚</t>
  </si>
  <si>
    <t>100*50*5</t>
  </si>
  <si>
    <t>1006平板六脚矮脚</t>
  </si>
  <si>
    <t>1007平板六脚矮脚</t>
  </si>
  <si>
    <t>100*70*5</t>
  </si>
  <si>
    <t>1006网格六脚</t>
  </si>
  <si>
    <t>1007网格六脚</t>
  </si>
  <si>
    <t>100*70*14</t>
  </si>
  <si>
    <t>1106网格六脚</t>
  </si>
  <si>
    <t>110*60*14</t>
  </si>
  <si>
    <t>1107网格六脚</t>
  </si>
  <si>
    <t>110*70*14</t>
  </si>
  <si>
    <t xml:space="preserve"> </t>
  </si>
  <si>
    <t>商家编码</t>
  </si>
  <si>
    <t>尺寸   （cm）</t>
  </si>
  <si>
    <t>重量/钢</t>
  </si>
  <si>
    <t xml:space="preserve">体积计算公式：长*(宽+0.18)*(高+0.03) </t>
  </si>
  <si>
    <t>8060平板九脚</t>
  </si>
  <si>
    <t>80*60*14</t>
  </si>
  <si>
    <t>3钢</t>
  </si>
  <si>
    <t>C款3.6</t>
  </si>
  <si>
    <t>8070平板九脚</t>
  </si>
  <si>
    <t>80*70*14</t>
  </si>
  <si>
    <t>8080平板九脚</t>
  </si>
  <si>
    <t>80*80*14</t>
  </si>
  <si>
    <t>9060平板九脚</t>
  </si>
  <si>
    <t>90*60*14</t>
  </si>
  <si>
    <t>9090平板九脚</t>
  </si>
  <si>
    <t>90*90*14</t>
  </si>
  <si>
    <t>1006平板九脚</t>
  </si>
  <si>
    <t>1007平板九脚</t>
  </si>
  <si>
    <t>1206平板九脚</t>
  </si>
  <si>
    <t>120*60*14</t>
  </si>
  <si>
    <t>1008平板九脚</t>
  </si>
  <si>
    <t>100*80*14</t>
  </si>
  <si>
    <t>C款6.5</t>
  </si>
  <si>
    <t>1010平板九脚</t>
  </si>
  <si>
    <t>100*100*14</t>
  </si>
  <si>
    <t>1208平板九脚</t>
  </si>
  <si>
    <t>120*80*14</t>
  </si>
  <si>
    <t>1108平板九脚</t>
  </si>
  <si>
    <t>110*80*14</t>
  </si>
  <si>
    <t>1109平板九脚</t>
  </si>
  <si>
    <t>110*90*14</t>
  </si>
  <si>
    <t>1111平板九脚</t>
  </si>
  <si>
    <t>110*110*14</t>
  </si>
  <si>
    <t>4钢</t>
  </si>
  <si>
    <t>C款10.6</t>
  </si>
  <si>
    <t>1210平板九脚</t>
  </si>
  <si>
    <t>120*100*14</t>
  </si>
  <si>
    <t>D款9.4</t>
  </si>
  <si>
    <t>1212平板九脚</t>
  </si>
  <si>
    <t>120*120*14</t>
  </si>
  <si>
    <t>B款12.8</t>
  </si>
  <si>
    <t>6钢</t>
  </si>
  <si>
    <t>1311平板九脚</t>
  </si>
  <si>
    <t>130*110*14</t>
  </si>
  <si>
    <t>1412平板九脚</t>
  </si>
  <si>
    <t>140*120*14</t>
  </si>
  <si>
    <t>1414平板九脚</t>
  </si>
  <si>
    <t>140*140*14</t>
  </si>
  <si>
    <t>1514平板九脚</t>
  </si>
  <si>
    <t>150*140*14</t>
  </si>
  <si>
    <t>重量</t>
  </si>
  <si>
    <t xml:space="preserve">  体积计算公式：[0.05*(数量-1)+0.14]*长*宽</t>
  </si>
  <si>
    <t>8060网格九脚</t>
  </si>
  <si>
    <t>8080网格九脚</t>
  </si>
  <si>
    <t>9090网格九脚</t>
  </si>
  <si>
    <t>1008B网格九脚</t>
  </si>
  <si>
    <t>1008D网格九脚</t>
  </si>
  <si>
    <t>1009网格九脚</t>
  </si>
  <si>
    <t>100*90*14</t>
  </si>
  <si>
    <t>1108网格九脚</t>
  </si>
  <si>
    <t>1109网格九脚</t>
  </si>
  <si>
    <t>1208网格九脚</t>
  </si>
  <si>
    <t>1010B网格九脚</t>
  </si>
  <si>
    <t>1110网格九脚</t>
  </si>
  <si>
    <t>110*100*14</t>
  </si>
  <si>
    <t>1111B网格九脚</t>
  </si>
  <si>
    <t>1210A-1网格九脚</t>
  </si>
  <si>
    <t>1210B网格九脚</t>
  </si>
  <si>
    <t>1210C网格九脚</t>
  </si>
  <si>
    <t>1210D网格九脚</t>
  </si>
  <si>
    <t>1211网格九脚</t>
  </si>
  <si>
    <t>120*110*14</t>
  </si>
  <si>
    <t>1212网格九脚</t>
  </si>
  <si>
    <t>1311网格九脚</t>
  </si>
  <si>
    <t>1312网格九脚</t>
  </si>
  <si>
    <t>130*120*14</t>
  </si>
  <si>
    <t>1313网格九脚</t>
  </si>
  <si>
    <t>130*130*14</t>
  </si>
  <si>
    <t>1412网格九脚</t>
  </si>
  <si>
    <t>1413网格九脚</t>
  </si>
  <si>
    <t>140*130*14</t>
  </si>
  <si>
    <t>志光/报价</t>
  </si>
  <si>
    <t>荣鑫/报价</t>
  </si>
  <si>
    <t xml:space="preserve">体积计算公式：长*(宽+0.18)*(高+0.04) </t>
  </si>
  <si>
    <t>9080网格川字</t>
  </si>
  <si>
    <t>90*80*15</t>
  </si>
  <si>
    <t>9钢</t>
  </si>
  <si>
    <t>9090网格川字</t>
  </si>
  <si>
    <t>90*90*15</t>
  </si>
  <si>
    <t>8钢</t>
  </si>
  <si>
    <t>1008网格川字</t>
  </si>
  <si>
    <t>100*80*15</t>
  </si>
  <si>
    <t>1009网格川字</t>
  </si>
  <si>
    <t>100*90*15</t>
  </si>
  <si>
    <t>1108网格川字</t>
  </si>
  <si>
    <t>110*80*15</t>
  </si>
  <si>
    <t>1010网格川字</t>
  </si>
  <si>
    <t>100*100*15</t>
  </si>
  <si>
    <t>10钢</t>
  </si>
  <si>
    <t>1109网格川字</t>
  </si>
  <si>
    <t>110*90*15</t>
  </si>
  <si>
    <t>1110网格川字</t>
  </si>
  <si>
    <t>110*100*15</t>
  </si>
  <si>
    <t>11钢</t>
  </si>
  <si>
    <t>1208网格川字</t>
  </si>
  <si>
    <t>120*80*15</t>
  </si>
  <si>
    <t>1209网格川字</t>
  </si>
  <si>
    <t>120*90*15</t>
  </si>
  <si>
    <t>1210网格川字</t>
  </si>
  <si>
    <t>120*100*15</t>
  </si>
  <si>
    <t>1111网格川字</t>
  </si>
  <si>
    <t>110*110*15</t>
  </si>
  <si>
    <t>F款11.6</t>
  </si>
  <si>
    <t>1211网格川字</t>
  </si>
  <si>
    <t>120*110*15</t>
  </si>
  <si>
    <t>13钢</t>
  </si>
  <si>
    <t>1212网格川字</t>
  </si>
  <si>
    <t>120*120*15</t>
  </si>
  <si>
    <t>1310网格川字</t>
  </si>
  <si>
    <t>130*100*15</t>
  </si>
  <si>
    <t>1311网格川字</t>
  </si>
  <si>
    <t>130*110*15</t>
  </si>
  <si>
    <t>B款14.3</t>
  </si>
  <si>
    <t>1312网格川字R</t>
  </si>
  <si>
    <t>130*120*15</t>
  </si>
  <si>
    <t>1313网格川字</t>
  </si>
  <si>
    <t>130*130*15</t>
  </si>
  <si>
    <t>1411网格川字</t>
  </si>
  <si>
    <t>140*110*15</t>
  </si>
  <si>
    <t>1412 B款网格川字</t>
  </si>
  <si>
    <t>140*120*15</t>
  </si>
  <si>
    <t>1413网格川字</t>
  </si>
  <si>
    <t>140*130*15</t>
  </si>
  <si>
    <t>1511网格川字</t>
  </si>
  <si>
    <t>150*110*15</t>
  </si>
  <si>
    <t>12钢</t>
  </si>
  <si>
    <t>1512网格川字</t>
  </si>
  <si>
    <t>150*120*15</t>
  </si>
  <si>
    <t>1513网格川字</t>
  </si>
  <si>
    <t>150*130*15</t>
  </si>
  <si>
    <t>1008平板川字</t>
  </si>
  <si>
    <t>1010平板川字</t>
  </si>
  <si>
    <t>1208平板川字</t>
  </si>
  <si>
    <t>1210平板川字</t>
  </si>
  <si>
    <t>1111平板川字</t>
  </si>
  <si>
    <t>1211平板川字</t>
  </si>
  <si>
    <t>1212平板川字</t>
  </si>
  <si>
    <t>1311平板川字</t>
  </si>
  <si>
    <t>1412平板川字</t>
  </si>
  <si>
    <t>台州仓钢管价格</t>
  </si>
  <si>
    <t>1.2MM</t>
  </si>
  <si>
    <t>1.5MM</t>
  </si>
  <si>
    <t>2.0MM</t>
  </si>
  <si>
    <t>72CM</t>
  </si>
  <si>
    <t>82CM</t>
  </si>
  <si>
    <t>92CM</t>
  </si>
  <si>
    <t>102CM</t>
  </si>
  <si>
    <t>112CM</t>
  </si>
  <si>
    <t>122CM</t>
  </si>
  <si>
    <t>132CM</t>
  </si>
  <si>
    <t>0.65密度</t>
  </si>
  <si>
    <t>0.79密度</t>
  </si>
  <si>
    <t>1.1密度</t>
  </si>
  <si>
    <t>新料成本   （元）</t>
  </si>
  <si>
    <t>重量   （KG）</t>
  </si>
  <si>
    <t>备注</t>
  </si>
  <si>
    <t>卖的时候问下厂家有没有现货，体积计算方式就是长*宽*高</t>
  </si>
  <si>
    <t>8060网格田字</t>
  </si>
  <si>
    <t>80*60*15</t>
  </si>
  <si>
    <t>1010B网格田字R</t>
  </si>
  <si>
    <t>不可加钢</t>
  </si>
  <si>
    <t>1111B网格田字R</t>
  </si>
  <si>
    <t>可加8钢</t>
  </si>
  <si>
    <t>1208B网格田字R</t>
  </si>
  <si>
    <t>1210B网格田字Z</t>
  </si>
  <si>
    <t>1211B网格田字R</t>
  </si>
  <si>
    <t>1212网格田字R</t>
  </si>
  <si>
    <t>1311C网格田字R</t>
  </si>
  <si>
    <t>1411网格田字Z</t>
  </si>
  <si>
    <t>1412网格田字R</t>
  </si>
  <si>
    <t>1512网格田字R</t>
  </si>
  <si>
    <t>1210网格双面R款</t>
  </si>
  <si>
    <t>1111网格双面R款</t>
  </si>
  <si>
    <t>可加10钢</t>
  </si>
  <si>
    <t>1211网格双面Z款</t>
  </si>
  <si>
    <t>1212网格双面R款</t>
  </si>
  <si>
    <t>1311网格双面Z款</t>
  </si>
  <si>
    <t>不可加钢管</t>
  </si>
  <si>
    <t>1412网格双面R款</t>
  </si>
  <si>
    <t>1412网格双面Z款</t>
  </si>
  <si>
    <t>1512网格双面Z款</t>
  </si>
  <si>
    <t>1513网格双面Z款</t>
  </si>
  <si>
    <t>组合物流箱</t>
  </si>
  <si>
    <t>有人问的话，利润保持在15%</t>
  </si>
  <si>
    <t>1210组合物流箱(网格侧板+川字底脚)XD款</t>
  </si>
  <si>
    <t>鑫鼎</t>
  </si>
  <si>
    <t>1210组合物流箱(密封侧板+川字底脚)XD款</t>
  </si>
  <si>
    <t>1210组合物流箱(密封侧板带小门+川字底脚)XD款</t>
  </si>
  <si>
    <t>1210组合物流箱(网格侧板+单个底脚)XD款</t>
  </si>
  <si>
    <t>1210组合物流箱(密封侧板+单个底脚)XD款</t>
  </si>
  <si>
    <t>1210组合物流箱(密封侧板带小门+单个底脚)XD款</t>
  </si>
  <si>
    <t>1210物流箱盖子XD款</t>
  </si>
  <si>
    <t>全新料价格（元）</t>
  </si>
  <si>
    <t>8060吹塑七脚托盘L款</t>
  </si>
  <si>
    <t>8080吹塑九脚托盘L款</t>
  </si>
  <si>
    <t>1008B吹塑九脚托盘L款</t>
  </si>
  <si>
    <t>1008B吹塑九脚托盘R款</t>
  </si>
  <si>
    <t>1008吹塑九脚托盘D款</t>
  </si>
  <si>
    <t>1008A吹塑九脚托盘L款</t>
  </si>
  <si>
    <t>1108吹塑九脚D款</t>
  </si>
  <si>
    <t>1109吹塑九脚托盘R款</t>
  </si>
  <si>
    <t>1109吹塑九脚托盘D款7.5</t>
  </si>
  <si>
    <t>1109吹塑九脚托盘D款9</t>
  </si>
  <si>
    <t>105105吹塑九脚托盘L款</t>
  </si>
  <si>
    <t>1010B吹塑九脚托盘L款</t>
  </si>
  <si>
    <t>1010A吹塑九脚托盘L款</t>
  </si>
  <si>
    <t>1010吹塑九脚D款</t>
  </si>
  <si>
    <t>1010A吹塑九脚R款</t>
  </si>
  <si>
    <t>1208吹塑九脚托盘L款</t>
  </si>
  <si>
    <t>1208B吹塑九脚托盘R款</t>
  </si>
  <si>
    <t>1208吹塑九脚托盘D款</t>
  </si>
  <si>
    <t>1210A吹塑九脚托盘L款</t>
  </si>
  <si>
    <t>1210A吹塑九脚托盘R款</t>
  </si>
  <si>
    <t>1210B吹塑九脚托盘L款</t>
  </si>
  <si>
    <t>1210B吹塑九脚托盘R款</t>
  </si>
  <si>
    <t>1210C吹塑九脚托盘L款</t>
  </si>
  <si>
    <t>1210C吹塑九脚托盘R款</t>
  </si>
  <si>
    <t>1210D吹塑九脚托盘R款</t>
  </si>
  <si>
    <t>1111A吹塑九脚托盘L款</t>
  </si>
  <si>
    <t>1111B吹塑九脚托盘L款</t>
  </si>
  <si>
    <t>1111A吹塑九脚托盘R款</t>
  </si>
  <si>
    <t>1111B吹塑九脚托盘R款</t>
  </si>
  <si>
    <t>1111C吹塑九脚托盘R款</t>
  </si>
  <si>
    <t>1111吹塑九脚D款9</t>
  </si>
  <si>
    <t>1111吹塑九脚D款10</t>
  </si>
  <si>
    <t>1211吹塑九脚D款</t>
  </si>
  <si>
    <t>1212吹塑九脚托盘L款</t>
  </si>
  <si>
    <t>1212A吹塑九脚托盘R款</t>
  </si>
  <si>
    <t>1212B吹塑九脚托盘R款</t>
  </si>
  <si>
    <t>1212C吹塑九脚托盘R款</t>
  </si>
  <si>
    <t>1212吹塑九脚D款12</t>
  </si>
  <si>
    <t>1212吹塑九脚D款13</t>
  </si>
  <si>
    <t>1311A吹塑九脚托盘L款</t>
  </si>
  <si>
    <t>1311B吹塑九脚托盘L款</t>
  </si>
  <si>
    <t>1311A吹塑九脚托盘R款</t>
  </si>
  <si>
    <t>1311B吹塑九脚托盘R款</t>
  </si>
  <si>
    <t>1311C吹塑九脚托盘R款</t>
  </si>
  <si>
    <t>1311吹塑九脚D款12</t>
  </si>
  <si>
    <t>1311吹塑九脚D款13</t>
  </si>
  <si>
    <t>1410吹塑九脚D款</t>
  </si>
  <si>
    <t>140*100*15</t>
  </si>
  <si>
    <t>1411吹塑九脚托盘R款</t>
  </si>
  <si>
    <t>1412吹塑九脚托盘L款</t>
  </si>
  <si>
    <t>1412吹塑九脚D款</t>
  </si>
  <si>
    <t>1412A吹塑九脚托盘R款</t>
  </si>
  <si>
    <t>1111双面吹塑D款</t>
  </si>
  <si>
    <t>1100*1100*150</t>
  </si>
  <si>
    <t>6.5元/公斤</t>
  </si>
  <si>
    <t>1210双面吹塑D款</t>
  </si>
  <si>
    <t>1200*1000*150</t>
  </si>
  <si>
    <t>1211双面吹塑D款</t>
  </si>
  <si>
    <t>1200*1100*150</t>
  </si>
  <si>
    <t>1212双面吹塑D款</t>
  </si>
  <si>
    <t>1200*1200*150</t>
  </si>
  <si>
    <t>1311双面吹塑D款</t>
  </si>
  <si>
    <t>1300*1100*150</t>
  </si>
  <si>
    <t>1412双面吹塑D款</t>
  </si>
  <si>
    <t>1400*1200*150</t>
  </si>
  <si>
    <t>1414双面吹塑D款</t>
  </si>
  <si>
    <t>1400*1400*150</t>
  </si>
  <si>
    <t>28-34</t>
  </si>
  <si>
    <t>1511双面吹塑D款</t>
  </si>
  <si>
    <t>1500*1100*150</t>
  </si>
  <si>
    <t>30-33</t>
  </si>
  <si>
    <t>1512双面吹塑D款</t>
  </si>
  <si>
    <t>1500*1200*150</t>
  </si>
  <si>
    <t>30-34</t>
  </si>
  <si>
    <t>1513双面吹塑D款</t>
  </si>
  <si>
    <t>1500*1300*150</t>
  </si>
  <si>
    <t>31-35</t>
  </si>
  <si>
    <t>1614双面吹塑D款</t>
  </si>
  <si>
    <t>1600*1400*150</t>
  </si>
  <si>
    <t>40-45</t>
  </si>
  <si>
    <t>1616双面吹塑D款</t>
  </si>
  <si>
    <t>1600*1600*150</t>
  </si>
  <si>
    <t>40-50</t>
  </si>
  <si>
    <t>黑色盖板成本   （个/元）</t>
  </si>
  <si>
    <t>1张体积</t>
  </si>
  <si>
    <t>2张体积</t>
  </si>
  <si>
    <t>3张体积</t>
  </si>
  <si>
    <t>4张体积</t>
  </si>
  <si>
    <t>5张体积</t>
  </si>
  <si>
    <t>6张体积</t>
  </si>
  <si>
    <t>7张体积</t>
  </si>
  <si>
    <t>8张体积</t>
  </si>
  <si>
    <t>9张体积</t>
  </si>
  <si>
    <t>10张体积</t>
  </si>
  <si>
    <t>33*33*5.8防渗漏托盘R款</t>
  </si>
  <si>
    <t>33*33*5.8</t>
  </si>
  <si>
    <t>不带排污口</t>
  </si>
  <si>
    <t>33*33*5.8防渗漏托盘F款</t>
  </si>
  <si>
    <t>49*35*9.5防渗漏托盘R款</t>
  </si>
  <si>
    <t>49*35*9.5</t>
  </si>
  <si>
    <t>49*36*10防渗漏托盘R款</t>
  </si>
  <si>
    <t>49*36*10</t>
  </si>
  <si>
    <t>66*36*12防渗漏托盘R款</t>
  </si>
  <si>
    <t>66*36*12</t>
  </si>
  <si>
    <t>有排污口</t>
  </si>
  <si>
    <t>66*36*12防渗漏托盘F款</t>
  </si>
  <si>
    <t>60*60*15Q防渗漏托盘R款</t>
  </si>
  <si>
    <t>60*60*15</t>
  </si>
  <si>
    <t>66*66*15防渗漏托盘R款</t>
  </si>
  <si>
    <t>66*66*15</t>
  </si>
  <si>
    <t>66*66*15防渗漏托盘F款</t>
  </si>
  <si>
    <t>72*72*16防渗漏托盘R款</t>
  </si>
  <si>
    <t>72*72*16</t>
  </si>
  <si>
    <t>72*72*16防渗漏托盘F款</t>
  </si>
  <si>
    <t>120*60*10防渗漏托盘R款</t>
  </si>
  <si>
    <t>120*60*10</t>
  </si>
  <si>
    <t>120*60*17防渗漏托盘R款</t>
  </si>
  <si>
    <t>120*60*17</t>
  </si>
  <si>
    <t>120*60*17防渗漏托盘(蓝色)R款</t>
  </si>
  <si>
    <t>120*100*17防渗漏托盘R款</t>
  </si>
  <si>
    <t>120*100*17</t>
  </si>
  <si>
    <t>120*120*10防渗漏托盘R款</t>
  </si>
  <si>
    <t>120*120*10</t>
  </si>
  <si>
    <t>120*120*17防渗漏托盘R款</t>
  </si>
  <si>
    <t>120*120*17</t>
  </si>
  <si>
    <t>120*120*17防渗漏托盘(蓝色)R款</t>
  </si>
  <si>
    <t>130*68*15Q防渗漏托盘R款</t>
  </si>
  <si>
    <t>130*68*15</t>
  </si>
  <si>
    <t>130*68*15防渗漏托盘R款</t>
  </si>
  <si>
    <t>130*68*17.5防渗漏托盘R款</t>
  </si>
  <si>
    <t>130*68*17.5</t>
  </si>
  <si>
    <t>130*68*30Q防渗漏托盘R款</t>
  </si>
  <si>
    <t>130*68*30</t>
  </si>
  <si>
    <t>130*68*30防渗漏托盘R款</t>
  </si>
  <si>
    <t>130*130*15Q防渗漏托盘R款</t>
  </si>
  <si>
    <t>130*130*15防渗漏托盘R款</t>
  </si>
  <si>
    <t>130*130*17.5防渗漏托盘R款</t>
  </si>
  <si>
    <t>130*130*17.5</t>
  </si>
  <si>
    <t>130*130*30Q防渗漏托盘R款</t>
  </si>
  <si>
    <t>300*130*30</t>
  </si>
  <si>
    <t>130*130*30B防渗漏托盘R款</t>
  </si>
  <si>
    <t>130*130*30A防渗漏托盘R款</t>
  </si>
  <si>
    <t>老模具 2面进插</t>
  </si>
  <si>
    <t>130*110*30防渗漏托盘R款</t>
  </si>
  <si>
    <t>130*110*30</t>
  </si>
  <si>
    <t>德邦快递</t>
  </si>
  <si>
    <t>韵达快递</t>
  </si>
  <si>
    <t>区域</t>
  </si>
  <si>
    <t>首重</t>
  </si>
  <si>
    <t>续重</t>
  </si>
  <si>
    <t>卖单</t>
  </si>
  <si>
    <t>0.5公斤</t>
  </si>
  <si>
    <t>1公斤</t>
  </si>
  <si>
    <t>2公斤</t>
  </si>
  <si>
    <t>3公斤</t>
  </si>
  <si>
    <t>3公斤以上按后面算</t>
  </si>
  <si>
    <t>江苏 浙江 上海</t>
  </si>
  <si>
    <t>首重3KG</t>
  </si>
  <si>
    <t>江苏 浙江 安徽 上海</t>
  </si>
  <si>
    <t>3/票</t>
  </si>
  <si>
    <t xml:space="preserve">广东、安徽、山东、北京、天津、河北、河南、湖北、湖南、江西、山西、福建 </t>
  </si>
  <si>
    <t>北京 河北 天津 河南 湖南 湖北 山东 广东 江西 福建</t>
  </si>
  <si>
    <t>广西、海南、云南、贵州、四川、重庆、黑龙江、吉林、辽宁</t>
  </si>
  <si>
    <t>山西 陕西 广西 四川 重庆 贵州 云南 黑龙江 辽宁 吉林</t>
  </si>
  <si>
    <t>陕西、甘肃、宁夏、青海、内蒙古</t>
  </si>
  <si>
    <t>内蒙 甘肃 青海 宁夏 海南</t>
  </si>
  <si>
    <t>新疆、西藏</t>
  </si>
  <si>
    <t>北京</t>
  </si>
  <si>
    <t>备注：计泡费另外收取长*宽*高/12000，总部调整另行通知。</t>
  </si>
  <si>
    <t>上海</t>
  </si>
  <si>
    <t>新疆  西藏</t>
  </si>
  <si>
    <t>备注：计泡费另外收取长*宽*高/8000，总部调整另行通知。</t>
  </si>
  <si>
    <r>
      <rPr>
        <sz val="11"/>
        <color theme="1"/>
        <rFont val="Calibri"/>
        <charset val="134"/>
        <scheme val="minor"/>
      </rPr>
      <t>备注：</t>
    </r>
    <r>
      <rPr>
        <b/>
        <sz val="11"/>
        <color theme="1"/>
        <rFont val="Calibri"/>
        <charset val="134"/>
        <scheme val="minor"/>
      </rPr>
      <t>1、此价格表首重</t>
    </r>
    <r>
      <rPr>
        <b/>
        <u/>
        <sz val="11"/>
        <color theme="1"/>
        <rFont val="Calibri"/>
        <charset val="134"/>
        <scheme val="minor"/>
      </rPr>
      <t xml:space="preserve">    </t>
    </r>
    <r>
      <rPr>
        <b/>
        <sz val="11"/>
        <color theme="1"/>
        <rFont val="Calibri"/>
        <charset val="134"/>
        <scheme val="minor"/>
      </rPr>
      <t>kg，</t>
    </r>
    <r>
      <rPr>
        <b/>
        <sz val="16"/>
        <color rgb="FFFF0000"/>
        <rFont val="Calibri"/>
        <charset val="134"/>
        <scheme val="minor"/>
      </rPr>
      <t>续重首重为</t>
    </r>
    <r>
      <rPr>
        <b/>
        <u/>
        <sz val="16"/>
        <color rgb="FFFF0000"/>
        <rFont val="Calibri"/>
        <charset val="134"/>
        <scheme val="minor"/>
      </rPr>
      <t xml:space="preserve"> 1 </t>
    </r>
    <r>
      <rPr>
        <b/>
        <sz val="16"/>
        <color rgb="FFFF0000"/>
        <rFont val="Calibri"/>
        <charset val="134"/>
        <scheme val="minor"/>
      </rPr>
      <t>kg，3公斤以上面单费用为4元（新疆西藏不适用）。</t>
    </r>
  </si>
  <si>
    <t>邮政快递</t>
  </si>
  <si>
    <t>极兔快递</t>
  </si>
  <si>
    <t>首重1KG</t>
  </si>
  <si>
    <t>续重价格</t>
  </si>
  <si>
    <t>卖面单</t>
  </si>
  <si>
    <t>超过3公斤</t>
  </si>
  <si>
    <t>上海，浙江，江苏，安徽</t>
  </si>
  <si>
    <t>江 浙 沪 皖</t>
  </si>
  <si>
    <t>4元/票</t>
  </si>
  <si>
    <t>重量*1</t>
  </si>
  <si>
    <t>北京，天津，河北，山西，山东，福建，江西，河南，湖北，湖南，广东</t>
  </si>
  <si>
    <t>福建 广东 江西 山东 河南 河北  天津 北京 湖南 湖北</t>
  </si>
  <si>
    <t>重量*2</t>
  </si>
  <si>
    <t>广西，陕西，重庆，贵州</t>
  </si>
  <si>
    <t>黑龙江 吉林 辽宁 云南 重庆  广西  贵州 四川  山西 陕西</t>
  </si>
  <si>
    <t>重量*3</t>
  </si>
  <si>
    <t>辽宁，海南，宁夏，四川，甘肃，内蒙古，吉林，</t>
  </si>
  <si>
    <t>内蒙 宁夏 青海 甘肃 海南</t>
  </si>
  <si>
    <t>重量*4</t>
  </si>
  <si>
    <t>黑龙江，云南</t>
  </si>
  <si>
    <t>新疆 西藏</t>
  </si>
  <si>
    <t>重量*15</t>
  </si>
  <si>
    <t>西藏</t>
  </si>
  <si>
    <t>备注：</t>
  </si>
  <si>
    <t>另收取管控费：
   上海1公斤1元/票
   北京1公斤内1元/票
   计泡费另外收取长*宽*高/8000，总部调整另行通知。超3公斤不减面单钱</t>
  </si>
  <si>
    <t>青海</t>
  </si>
  <si>
    <t>新疆</t>
  </si>
  <si>
    <t>快运价格表</t>
  </si>
  <si>
    <t>省份</t>
  </si>
  <si>
    <t>顺心捷达</t>
  </si>
  <si>
    <t>安能快运</t>
  </si>
  <si>
    <t>壹米滴答</t>
  </si>
  <si>
    <t>浙江省</t>
  </si>
  <si>
    <t>安徽省</t>
  </si>
  <si>
    <t>江苏省</t>
  </si>
  <si>
    <t>上海市</t>
  </si>
  <si>
    <t>福建省</t>
  </si>
  <si>
    <t>广东省</t>
  </si>
  <si>
    <t>江西省</t>
  </si>
  <si>
    <t>山东省</t>
  </si>
  <si>
    <t>北京市</t>
  </si>
  <si>
    <t>天津市</t>
  </si>
  <si>
    <t>河北省</t>
  </si>
  <si>
    <t>河南省</t>
  </si>
  <si>
    <t>湖北省</t>
  </si>
  <si>
    <t>湖南省</t>
  </si>
  <si>
    <t>重庆市</t>
  </si>
  <si>
    <t>四川省</t>
  </si>
  <si>
    <t>贵州省</t>
  </si>
  <si>
    <t>山西省</t>
  </si>
  <si>
    <t>陕西省</t>
  </si>
  <si>
    <t>广西</t>
  </si>
  <si>
    <t>辽宁省</t>
  </si>
  <si>
    <t>云南省</t>
  </si>
  <si>
    <t>黑龙江省</t>
  </si>
  <si>
    <t>吉林省</t>
  </si>
  <si>
    <t>甘肃省</t>
  </si>
  <si>
    <t>宁夏</t>
  </si>
  <si>
    <t>海南</t>
  </si>
  <si>
    <t>内蒙</t>
  </si>
  <si>
    <t>特殊区域：四川攀枝花.云南西双版纳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</si>
</sst>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.0_ "/>
  </numFmts>
  <fonts count="41">
    <font>
      <sz val="11"/>
      <color theme="1"/>
      <name val="Calibri"/>
      <charset val="134"/>
      <scheme val="minor"/>
    </font>
    <font>
      <sz val="12"/>
      <name val="宋体"/>
      <charset val="134"/>
    </font>
    <font>
      <b/>
      <sz val="24"/>
      <name val="宋体"/>
      <charset val="134"/>
    </font>
    <font>
      <b/>
      <sz val="18"/>
      <name val="宋体"/>
      <charset val="134"/>
    </font>
    <font>
      <b/>
      <sz val="18"/>
      <color rgb="FFFF0000"/>
      <name val="宋体"/>
      <charset val="134"/>
    </font>
    <font>
      <b/>
      <sz val="12"/>
      <name val="宋体"/>
      <charset val="134"/>
    </font>
    <font>
      <b/>
      <sz val="12"/>
      <color theme="1"/>
      <name val="宋体"/>
      <charset val="134"/>
    </font>
    <font>
      <sz val="28"/>
      <color theme="1"/>
      <name val="思源黑体 Bold"/>
      <charset val="134"/>
    </font>
    <font>
      <sz val="14"/>
      <color theme="1"/>
      <name val="Calibri"/>
      <charset val="134"/>
      <scheme val="minor"/>
    </font>
    <font>
      <sz val="12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sz val="28"/>
      <name val="宋体"/>
      <charset val="134"/>
    </font>
    <font>
      <b/>
      <sz val="16"/>
      <color theme="1"/>
      <name val="Calibri"/>
      <charset val="134"/>
      <scheme val="minor"/>
    </font>
    <font>
      <b/>
      <sz val="12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b/>
      <sz val="12"/>
      <name val="微软雅黑"/>
      <charset val="134"/>
    </font>
    <font>
      <b/>
      <sz val="10"/>
      <name val="微软雅黑"/>
      <charset val="134"/>
    </font>
    <font>
      <sz val="10"/>
      <name val="微软雅黑"/>
      <charset val="134"/>
    </font>
    <font>
      <sz val="11"/>
      <name val="宋体"/>
      <charset val="134"/>
    </font>
    <font>
      <b/>
      <sz val="20"/>
      <name val="微软雅黑"/>
      <charset val="134"/>
    </font>
    <font>
      <sz val="12"/>
      <color rgb="FFFF0000"/>
      <name val="宋体"/>
      <charset val="134"/>
    </font>
    <font>
      <sz val="12"/>
      <name val="Calibri"/>
      <charset val="134"/>
      <scheme val="minor"/>
    </font>
    <font>
      <sz val="12"/>
      <color theme="1"/>
      <name val="宋体"/>
      <charset val="134"/>
    </font>
    <font>
      <b/>
      <sz val="48"/>
      <name val="宋体"/>
      <charset val="134"/>
    </font>
    <font>
      <b/>
      <sz val="16"/>
      <name val="微软雅黑"/>
      <charset val="134"/>
    </font>
    <font>
      <b/>
      <sz val="16"/>
      <color rgb="FFFF0000"/>
      <name val="微软雅黑"/>
      <charset val="134"/>
    </font>
    <font>
      <b/>
      <sz val="20"/>
      <color theme="1"/>
      <name val="微软雅黑"/>
      <charset val="134"/>
    </font>
    <font>
      <sz val="16"/>
      <name val="宋体"/>
      <charset val="134"/>
    </font>
    <font>
      <sz val="16"/>
      <color theme="1"/>
      <name val="Calibri"/>
      <charset val="134"/>
      <scheme val="minor"/>
    </font>
    <font>
      <sz val="16"/>
      <color theme="1"/>
      <name val="微软雅黑"/>
      <charset val="134"/>
    </font>
    <font>
      <sz val="16"/>
      <name val="Calibri"/>
      <charset val="134"/>
      <scheme val="minor"/>
    </font>
    <font>
      <sz val="16"/>
      <color theme="1"/>
      <name val="宋体"/>
      <charset val="134"/>
    </font>
    <font>
      <sz val="16"/>
      <color rgb="FFFF0000"/>
      <name val="宋体"/>
      <charset val="134"/>
    </font>
    <font>
      <u/>
      <sz val="16"/>
      <color rgb="FF800080"/>
      <name val="Calibri"/>
      <charset val="134"/>
      <scheme val="minor"/>
    </font>
    <font>
      <sz val="16"/>
      <name val="微软雅黑"/>
      <charset val="134"/>
    </font>
    <font>
      <u/>
      <sz val="11"/>
      <color rgb="FF0000FF"/>
      <name val="Calibri"/>
      <scheme val="minor"/>
    </font>
    <font>
      <b/>
      <sz val="11"/>
      <color indexed="56"/>
      <name val="宋体"/>
      <charset val="134"/>
    </font>
    <font>
      <sz val="8.25"/>
      <color indexed="8"/>
      <name val="MS Sans Serif"/>
    </font>
    <font>
      <b/>
      <u/>
      <sz val="11"/>
      <color theme="1"/>
      <name val="Calibri"/>
      <charset val="134"/>
      <scheme val="minor"/>
    </font>
    <font>
      <b/>
      <sz val="16"/>
      <color rgb="FFFF0000"/>
      <name val="Calibri"/>
      <charset val="134"/>
      <scheme val="minor"/>
    </font>
    <font>
      <b/>
      <u/>
      <sz val="16"/>
      <color rgb="FFFF0000"/>
      <name val="Calibri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5117038483843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indexed="8"/>
      </top>
      <bottom style="thin">
        <color auto="1"/>
      </bottom>
      <diagonal/>
    </border>
    <border>
      <left style="thin">
        <color auto="1"/>
      </left>
      <right style="thin">
        <color indexed="8"/>
      </right>
      <top style="thin">
        <color indexed="8"/>
      </top>
      <bottom style="thin">
        <color auto="1"/>
      </bottom>
      <diagonal/>
    </border>
    <border>
      <left style="thin">
        <color indexed="8"/>
      </left>
      <right/>
      <top/>
      <bottom style="thin">
        <color indexed="8"/>
      </bottom>
      <diagonal/>
    </border>
    <border>
      <left style="thin">
        <color auto="1"/>
      </left>
      <right style="thin">
        <color indexed="8"/>
      </right>
      <top style="thin">
        <color auto="1"/>
      </top>
      <bottom style="thin">
        <color auto="1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indexed="8"/>
      </right>
      <top style="thin">
        <color auto="1"/>
      </top>
      <bottom style="thin">
        <color indexed="8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indexed="0"/>
      </bottom>
      <diagonal/>
    </border>
    <border>
      <left style="thin">
        <color auto="1"/>
      </left>
      <right style="thin">
        <color indexed="8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indexed="0"/>
      </bottom>
      <diagonal/>
    </border>
    <border>
      <left style="thin">
        <color auto="1"/>
      </left>
      <right/>
      <top style="thin">
        <color auto="1"/>
      </top>
      <bottom style="thin">
        <color indexed="8"/>
      </bottom>
      <diagonal/>
    </border>
    <border>
      <left/>
      <right/>
      <top/>
      <bottom style="thin">
        <color auto="1"/>
      </bottom>
      <diagonal/>
    </border>
  </borders>
  <cellStyleXfs count="7">
    <xf numFmtId="0" fontId="0" fillId="0" borderId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37" fillId="0" borderId="0">
      <alignment vertical="center"/>
    </xf>
  </cellStyleXfs>
  <cellXfs count="184">
    <xf numFmtId="0" fontId="0" fillId="0" borderId="0" xfId="0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vertical="center" wrapText="1"/>
    </xf>
    <xf numFmtId="0" fontId="3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5" fillId="2" borderId="4" xfId="0" applyFont="1" applyFill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5" fillId="2" borderId="4" xfId="0" applyFont="1" applyFill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3" borderId="4" xfId="0" applyFont="1" applyFill="1" applyBorder="1" applyAlignment="1">
      <alignment horizontal="center" vertical="center"/>
    </xf>
    <xf numFmtId="0" fontId="6" fillId="3" borderId="4" xfId="0" applyFont="1" applyFill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3" borderId="5" xfId="0" applyFont="1" applyFill="1" applyBorder="1" applyAlignment="1">
      <alignment horizontal="center" vertical="center"/>
    </xf>
    <xf numFmtId="0" fontId="5" fillId="3" borderId="6" xfId="0" applyFont="1" applyFill="1" applyBorder="1" applyAlignment="1">
      <alignment horizontal="center" vertical="center"/>
    </xf>
    <xf numFmtId="0" fontId="5" fillId="0" borderId="6" xfId="0" applyFont="1" applyBorder="1" applyAlignment="1">
      <alignment horizontal="center" vertical="center"/>
    </xf>
    <xf numFmtId="0" fontId="5" fillId="0" borderId="6" xfId="0" applyFont="1" applyBorder="1" applyAlignment="1">
      <alignment horizontal="center" vertical="center" wrapText="1"/>
    </xf>
    <xf numFmtId="0" fontId="0" fillId="4" borderId="0" xfId="0" applyFill="1">
      <alignment vertical="center"/>
    </xf>
    <xf numFmtId="0" fontId="8" fillId="0" borderId="4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14" fillId="0" borderId="6" xfId="0" applyFont="1" applyBorder="1">
      <alignment vertical="center"/>
    </xf>
    <xf numFmtId="0" fontId="5" fillId="0" borderId="7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15" fillId="0" borderId="8" xfId="0" applyFont="1" applyBorder="1" applyAlignment="1">
      <alignment horizontal="center" vertical="center" wrapText="1"/>
    </xf>
    <xf numFmtId="0" fontId="16" fillId="0" borderId="4" xfId="0" applyFont="1" applyBorder="1" applyAlignment="1">
      <alignment horizontal="center" vertical="center" wrapText="1"/>
    </xf>
    <xf numFmtId="0" fontId="5" fillId="0" borderId="9" xfId="0" applyFont="1" applyBorder="1" applyAlignment="1">
      <alignment horizontal="center" vertical="center"/>
    </xf>
    <xf numFmtId="0" fontId="15" fillId="2" borderId="10" xfId="0" applyFont="1" applyFill="1" applyBorder="1" applyAlignment="1">
      <alignment horizontal="center" vertical="center" wrapText="1"/>
    </xf>
    <xf numFmtId="0" fontId="15" fillId="0" borderId="10" xfId="0" applyFont="1" applyBorder="1" applyAlignment="1">
      <alignment horizontal="center" vertical="center" wrapText="1"/>
    </xf>
    <xf numFmtId="0" fontId="17" fillId="0" borderId="10" xfId="6" applyFont="1" applyBorder="1" applyAlignment="1">
      <alignment horizontal="center" vertical="center" wrapText="1"/>
    </xf>
    <xf numFmtId="0" fontId="16" fillId="0" borderId="5" xfId="0" applyFont="1" applyBorder="1" applyAlignment="1">
      <alignment horizontal="center" vertical="center" wrapText="1"/>
    </xf>
    <xf numFmtId="0" fontId="5" fillId="0" borderId="11" xfId="0" applyFont="1" applyBorder="1" applyAlignment="1">
      <alignment horizontal="center" vertical="center"/>
    </xf>
    <xf numFmtId="0" fontId="14" fillId="0" borderId="4" xfId="0" applyFont="1" applyBorder="1">
      <alignment vertical="center"/>
    </xf>
    <xf numFmtId="14" fontId="5" fillId="0" borderId="4" xfId="0" applyNumberFormat="1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8" fillId="0" borderId="4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2" borderId="0" xfId="0" applyFont="1" applyFill="1">
      <alignment vertical="center"/>
    </xf>
    <xf numFmtId="0" fontId="1" fillId="5" borderId="0" xfId="0" applyFont="1" applyFill="1">
      <alignment vertical="center"/>
    </xf>
    <xf numFmtId="0" fontId="19" fillId="0" borderId="4" xfId="0" applyFont="1" applyBorder="1" applyAlignment="1">
      <alignment horizontal="center" vertical="center" wrapText="1"/>
    </xf>
    <xf numFmtId="0" fontId="19" fillId="5" borderId="4" xfId="0" applyFont="1" applyFill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2" borderId="1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center" vertical="center"/>
    </xf>
    <xf numFmtId="0" fontId="20" fillId="2" borderId="4" xfId="0" applyFont="1" applyFill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 wrapText="1"/>
    </xf>
    <xf numFmtId="0" fontId="1" fillId="3" borderId="4" xfId="0" applyFont="1" applyFill="1" applyBorder="1" applyAlignment="1">
      <alignment horizontal="center" vertical="center"/>
    </xf>
    <xf numFmtId="0" fontId="1" fillId="5" borderId="4" xfId="0" applyFont="1" applyFill="1" applyBorder="1" applyAlignment="1">
      <alignment horizontal="center" vertical="center"/>
    </xf>
    <xf numFmtId="0" fontId="20" fillId="0" borderId="4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13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2" borderId="9" xfId="0" applyFont="1" applyFill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2" borderId="4" xfId="0" applyFont="1" applyFill="1" applyBorder="1">
      <alignment vertical="center"/>
    </xf>
    <xf numFmtId="0" fontId="1" fillId="0" borderId="0" xfId="0" applyFont="1" applyAlignment="1">
      <alignment horizontal="center" vertical="center"/>
    </xf>
    <xf numFmtId="0" fontId="1" fillId="2" borderId="14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21" fillId="0" borderId="4" xfId="4" applyFont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0" borderId="4" xfId="0" applyFont="1" applyBorder="1">
      <alignment vertical="center"/>
    </xf>
    <xf numFmtId="0" fontId="22" fillId="0" borderId="4" xfId="0" applyFont="1" applyBorder="1" applyAlignment="1">
      <alignment horizontal="center" vertical="center"/>
    </xf>
    <xf numFmtId="49" fontId="22" fillId="0" borderId="4" xfId="0" applyNumberFormat="1" applyFont="1" applyBorder="1" applyAlignment="1">
      <alignment horizontal="center" vertical="center"/>
    </xf>
    <xf numFmtId="0" fontId="1" fillId="2" borderId="12" xfId="0" applyFont="1" applyFill="1" applyBorder="1">
      <alignment vertical="center"/>
    </xf>
    <xf numFmtId="0" fontId="19" fillId="0" borderId="9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20" fillId="0" borderId="0" xfId="0" applyFont="1">
      <alignment vertical="center"/>
    </xf>
    <xf numFmtId="0" fontId="19" fillId="0" borderId="13" xfId="0" applyFont="1" applyBorder="1" applyAlignment="1">
      <alignment horizontal="center" vertical="center" wrapText="1"/>
    </xf>
    <xf numFmtId="0" fontId="19" fillId="3" borderId="13" xfId="0" applyFont="1" applyFill="1" applyBorder="1" applyAlignment="1">
      <alignment horizontal="center" vertical="center" wrapText="1"/>
    </xf>
    <xf numFmtId="0" fontId="19" fillId="3" borderId="16" xfId="0" applyFont="1" applyFill="1" applyBorder="1" applyAlignment="1">
      <alignment horizontal="center" vertical="center" wrapText="1"/>
    </xf>
    <xf numFmtId="0" fontId="19" fillId="4" borderId="13" xfId="0" applyFont="1" applyFill="1" applyBorder="1" applyAlignment="1">
      <alignment horizontal="center" vertical="center" wrapText="1"/>
    </xf>
    <xf numFmtId="0" fontId="19" fillId="0" borderId="4" xfId="0" applyFont="1" applyBorder="1" applyAlignment="1">
      <alignment horizontal="center" vertical="center"/>
    </xf>
    <xf numFmtId="0" fontId="1" fillId="0" borderId="18" xfId="0" applyFont="1" applyBorder="1" applyAlignment="1">
      <alignment vertical="center" wrapText="1"/>
    </xf>
    <xf numFmtId="0" fontId="1" fillId="0" borderId="18" xfId="0" applyFont="1" applyBorder="1" applyAlignment="1">
      <alignment horizontal="center" vertical="center"/>
    </xf>
    <xf numFmtId="0" fontId="1" fillId="0" borderId="5" xfId="0" applyFont="1" applyBorder="1">
      <alignment vertical="center"/>
    </xf>
    <xf numFmtId="0" fontId="24" fillId="0" borderId="3" xfId="0" applyFont="1" applyBorder="1">
      <alignment vertical="center"/>
    </xf>
    <xf numFmtId="0" fontId="25" fillId="0" borderId="3" xfId="0" applyFont="1" applyBorder="1" applyAlignment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24" fillId="0" borderId="19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4" fillId="0" borderId="4" xfId="0" applyFont="1" applyBorder="1">
      <alignment vertical="center"/>
    </xf>
    <xf numFmtId="0" fontId="25" fillId="0" borderId="4" xfId="0" applyFont="1" applyBorder="1" applyAlignment="1">
      <alignment horizontal="center" vertical="center"/>
    </xf>
    <xf numFmtId="0" fontId="24" fillId="0" borderId="4" xfId="0" applyFont="1" applyBorder="1" applyAlignment="1">
      <alignment horizontal="center" vertical="center"/>
    </xf>
    <xf numFmtId="0" fontId="24" fillId="0" borderId="9" xfId="0" applyFont="1" applyBorder="1" applyAlignment="1">
      <alignment horizontal="center" vertical="center"/>
    </xf>
    <xf numFmtId="0" fontId="24" fillId="0" borderId="5" xfId="0" applyFont="1" applyBorder="1">
      <alignment vertical="center"/>
    </xf>
    <xf numFmtId="0" fontId="24" fillId="0" borderId="5" xfId="0" applyFont="1" applyBorder="1" applyAlignment="1">
      <alignment horizontal="center" vertical="center"/>
    </xf>
    <xf numFmtId="0" fontId="24" fillId="0" borderId="11" xfId="0" applyFont="1" applyBorder="1" applyAlignment="1">
      <alignment horizontal="center" vertical="center"/>
    </xf>
    <xf numFmtId="0" fontId="19" fillId="4" borderId="16" xfId="0" applyFont="1" applyFill="1" applyBorder="1" applyAlignment="1">
      <alignment horizontal="center" vertical="center" wrapText="1"/>
    </xf>
    <xf numFmtId="0" fontId="1" fillId="0" borderId="20" xfId="0" applyFont="1" applyBorder="1" applyAlignment="1">
      <alignment horizontal="center" vertical="center"/>
    </xf>
    <xf numFmtId="0" fontId="1" fillId="0" borderId="21" xfId="0" applyFont="1" applyBorder="1" applyAlignment="1">
      <alignment horizontal="center" vertical="center"/>
    </xf>
    <xf numFmtId="0" fontId="19" fillId="3" borderId="4" xfId="0" applyFont="1" applyFill="1" applyBorder="1" applyAlignment="1">
      <alignment horizontal="center" vertical="center" wrapText="1"/>
    </xf>
    <xf numFmtId="0" fontId="19" fillId="4" borderId="4" xfId="0" applyFont="1" applyFill="1" applyBorder="1" applyAlignment="1">
      <alignment horizontal="center" vertical="center" wrapText="1"/>
    </xf>
    <xf numFmtId="168" fontId="0" fillId="0" borderId="4" xfId="0" applyNumberForma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27" fillId="2" borderId="0" xfId="0" applyFont="1" applyFill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24" fillId="2" borderId="4" xfId="0" applyFont="1" applyFill="1" applyBorder="1" applyAlignment="1">
      <alignment horizontal="center" vertical="center" wrapText="1"/>
    </xf>
    <xf numFmtId="0" fontId="24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center" vertical="center"/>
    </xf>
    <xf numFmtId="0" fontId="27" fillId="2" borderId="4" xfId="0" applyFont="1" applyFill="1" applyBorder="1" applyAlignment="1">
      <alignment horizontal="center" vertical="center"/>
    </xf>
    <xf numFmtId="0" fontId="28" fillId="3" borderId="4" xfId="0" applyFont="1" applyFill="1" applyBorder="1" applyAlignment="1">
      <alignment horizontal="center" vertical="center"/>
    </xf>
    <xf numFmtId="0" fontId="28" fillId="0" borderId="4" xfId="0" applyFont="1" applyBorder="1" applyAlignment="1">
      <alignment horizontal="center" vertical="center"/>
    </xf>
    <xf numFmtId="0" fontId="30" fillId="3" borderId="4" xfId="0" applyFont="1" applyFill="1" applyBorder="1" applyAlignment="1">
      <alignment horizontal="center" vertical="center"/>
    </xf>
    <xf numFmtId="0" fontId="27" fillId="3" borderId="4" xfId="0" applyFont="1" applyFill="1" applyBorder="1" applyAlignment="1">
      <alignment horizontal="center" vertical="center"/>
    </xf>
    <xf numFmtId="168" fontId="28" fillId="3" borderId="4" xfId="0" applyNumberFormat="1" applyFont="1" applyFill="1" applyBorder="1" applyAlignment="1">
      <alignment horizontal="center" vertical="center"/>
    </xf>
    <xf numFmtId="0" fontId="27" fillId="0" borderId="4" xfId="3" applyFont="1" applyFill="1" applyBorder="1" applyAlignment="1">
      <alignment horizontal="center" vertical="center" wrapText="1"/>
    </xf>
    <xf numFmtId="0" fontId="31" fillId="0" borderId="4" xfId="3" applyFont="1" applyFill="1" applyBorder="1" applyAlignment="1">
      <alignment horizontal="center" vertical="center"/>
    </xf>
    <xf numFmtId="0" fontId="31" fillId="3" borderId="4" xfId="0" applyFont="1" applyFill="1" applyBorder="1" applyAlignment="1">
      <alignment horizontal="center" vertical="center"/>
    </xf>
    <xf numFmtId="49" fontId="27" fillId="0" borderId="4" xfId="4" applyNumberFormat="1" applyFont="1" applyBorder="1" applyAlignment="1">
      <alignment horizontal="center"/>
    </xf>
    <xf numFmtId="0" fontId="31" fillId="0" borderId="4" xfId="2" applyFont="1" applyFill="1" applyBorder="1" applyAlignment="1">
      <alignment horizontal="center" vertical="center" wrapText="1"/>
    </xf>
    <xf numFmtId="0" fontId="31" fillId="2" borderId="4" xfId="2" applyFont="1" applyFill="1" applyBorder="1" applyAlignment="1">
      <alignment horizontal="center" vertical="center" wrapText="1"/>
    </xf>
    <xf numFmtId="0" fontId="31" fillId="0" borderId="4" xfId="0" applyFont="1" applyBorder="1" applyAlignment="1">
      <alignment horizontal="center" vertical="center"/>
    </xf>
    <xf numFmtId="0" fontId="31" fillId="2" borderId="4" xfId="0" applyFont="1" applyFill="1" applyBorder="1" applyAlignment="1">
      <alignment horizontal="center" vertical="center"/>
    </xf>
    <xf numFmtId="0" fontId="28" fillId="0" borderId="13" xfId="0" applyFont="1" applyBorder="1" applyAlignment="1">
      <alignment horizontal="center" vertical="center"/>
    </xf>
    <xf numFmtId="0" fontId="31" fillId="0" borderId="4" xfId="3" applyFont="1" applyFill="1" applyBorder="1" applyAlignment="1">
      <alignment horizontal="center" vertical="center" wrapText="1"/>
    </xf>
    <xf numFmtId="0" fontId="31" fillId="0" borderId="4" xfId="5" applyFont="1" applyBorder="1" applyAlignment="1">
      <alignment horizontal="center" vertical="center"/>
    </xf>
    <xf numFmtId="0" fontId="32" fillId="3" borderId="4" xfId="5" applyFont="1" applyFill="1" applyBorder="1" applyAlignment="1">
      <alignment horizontal="center" vertical="center"/>
    </xf>
    <xf numFmtId="0" fontId="27" fillId="0" borderId="4" xfId="0" applyFont="1" applyBorder="1" applyAlignment="1">
      <alignment horizontal="center" vertical="center" wrapText="1"/>
    </xf>
    <xf numFmtId="0" fontId="33" fillId="0" borderId="4" xfId="1" applyFont="1" applyBorder="1" applyAlignment="1">
      <alignment horizontal="center" vertical="center"/>
    </xf>
    <xf numFmtId="0" fontId="34" fillId="0" borderId="4" xfId="0" applyFont="1" applyBorder="1" applyAlignment="1">
      <alignment horizontal="center" vertical="center"/>
    </xf>
    <xf numFmtId="168" fontId="29" fillId="3" borderId="4" xfId="0" applyNumberFormat="1" applyFont="1" applyFill="1" applyBorder="1" applyAlignment="1">
      <alignment horizontal="center" vertical="center"/>
    </xf>
    <xf numFmtId="0" fontId="29" fillId="0" borderId="4" xfId="0" applyFont="1" applyBorder="1" applyAlignment="1">
      <alignment horizontal="center" vertical="center"/>
    </xf>
    <xf numFmtId="0" fontId="34" fillId="3" borderId="4" xfId="0" applyFont="1" applyFill="1" applyBorder="1" applyAlignment="1">
      <alignment horizontal="center" vertical="center"/>
    </xf>
    <xf numFmtId="0" fontId="27" fillId="0" borderId="13" xfId="0" applyFont="1" applyBorder="1" applyAlignment="1">
      <alignment horizontal="center" vertical="center"/>
    </xf>
    <xf numFmtId="0" fontId="27" fillId="0" borderId="14" xfId="0" applyFont="1" applyBorder="1" applyAlignment="1">
      <alignment horizontal="center" vertical="center"/>
    </xf>
    <xf numFmtId="0" fontId="27" fillId="0" borderId="3" xfId="0" applyFont="1" applyBorder="1" applyAlignment="1">
      <alignment horizontal="center" vertical="center"/>
    </xf>
    <xf numFmtId="0" fontId="27" fillId="2" borderId="14" xfId="0" applyFont="1" applyFill="1" applyBorder="1" applyAlignment="1">
      <alignment horizontal="center" vertical="center"/>
    </xf>
    <xf numFmtId="0" fontId="27" fillId="0" borderId="4" xfId="0" applyFont="1" applyBorder="1" applyAlignment="1">
      <alignment horizontal="center" vertical="center"/>
    </xf>
    <xf numFmtId="0" fontId="34" fillId="0" borderId="13" xfId="0" applyFont="1" applyBorder="1" applyAlignment="1">
      <alignment horizontal="center" vertical="center"/>
    </xf>
    <xf numFmtId="0" fontId="34" fillId="0" borderId="14" xfId="0" applyFont="1" applyBorder="1" applyAlignment="1">
      <alignment horizontal="center" vertical="center"/>
    </xf>
    <xf numFmtId="0" fontId="34" fillId="0" borderId="3" xfId="0" applyFont="1" applyBorder="1" applyAlignment="1">
      <alignment horizontal="center" vertical="center"/>
    </xf>
    <xf numFmtId="0" fontId="19" fillId="3" borderId="4" xfId="0" applyFont="1" applyFill="1" applyBorder="1" applyAlignment="1">
      <alignment horizontal="center" vertical="center" wrapText="1"/>
    </xf>
    <xf numFmtId="0" fontId="19" fillId="4" borderId="4" xfId="0" applyFont="1" applyFill="1" applyBorder="1" applyAlignment="1">
      <alignment horizontal="center" vertical="center" wrapText="1"/>
    </xf>
    <xf numFmtId="0" fontId="26" fillId="0" borderId="1" xfId="0" applyFont="1" applyBorder="1" applyAlignment="1">
      <alignment horizontal="center" vertical="center" wrapText="1"/>
    </xf>
    <xf numFmtId="0" fontId="26" fillId="0" borderId="2" xfId="0" applyFont="1" applyBorder="1" applyAlignment="1">
      <alignment horizontal="center" vertical="center" wrapText="1"/>
    </xf>
    <xf numFmtId="0" fontId="26" fillId="0" borderId="22" xfId="0" applyFont="1" applyBorder="1" applyAlignment="1">
      <alignment horizontal="center" vertical="center" wrapText="1"/>
    </xf>
    <xf numFmtId="0" fontId="19" fillId="0" borderId="4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14" xfId="0" applyFont="1" applyBorder="1">
      <alignment vertical="center"/>
    </xf>
    <xf numFmtId="0" fontId="19" fillId="3" borderId="15" xfId="0" applyFont="1" applyFill="1" applyBorder="1" applyAlignment="1">
      <alignment horizontal="center" vertical="center" wrapText="1"/>
    </xf>
    <xf numFmtId="0" fontId="19" fillId="3" borderId="16" xfId="0" applyFont="1" applyFill="1" applyBorder="1" applyAlignment="1">
      <alignment horizontal="center" vertical="center" wrapText="1"/>
    </xf>
    <xf numFmtId="0" fontId="19" fillId="4" borderId="15" xfId="0" applyFont="1" applyFill="1" applyBorder="1" applyAlignment="1">
      <alignment horizontal="center" vertical="center" wrapText="1"/>
    </xf>
    <xf numFmtId="0" fontId="19" fillId="4" borderId="16" xfId="0" applyFont="1" applyFill="1" applyBorder="1" applyAlignment="1">
      <alignment horizontal="center" vertical="center" wrapText="1"/>
    </xf>
    <xf numFmtId="0" fontId="19" fillId="0" borderId="17" xfId="0" applyFont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19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 wrapText="1"/>
    </xf>
    <xf numFmtId="0" fontId="19" fillId="0" borderId="2" xfId="0" applyFont="1" applyBorder="1" applyAlignment="1">
      <alignment horizontal="center" vertical="center" wrapText="1"/>
    </xf>
    <xf numFmtId="0" fontId="19" fillId="0" borderId="12" xfId="0" applyFont="1" applyBorder="1" applyAlignment="1">
      <alignment horizontal="center" vertical="center" wrapText="1"/>
    </xf>
    <xf numFmtId="0" fontId="23" fillId="0" borderId="0" xfId="0" applyFont="1" applyAlignment="1">
      <alignment horizontal="center" vertical="center"/>
    </xf>
    <xf numFmtId="0" fontId="19" fillId="0" borderId="9" xfId="0" applyFont="1" applyBorder="1" applyAlignment="1">
      <alignment horizontal="center" vertical="center" wrapText="1"/>
    </xf>
    <xf numFmtId="0" fontId="20" fillId="0" borderId="0" xfId="0" applyFont="1" applyAlignment="1">
      <alignment horizontal="center" vertical="center"/>
    </xf>
    <xf numFmtId="0" fontId="1" fillId="2" borderId="14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20" fillId="0" borderId="0" xfId="0" applyFont="1" applyAlignment="1">
      <alignment horizontal="center" vertical="center" wrapText="1"/>
    </xf>
    <xf numFmtId="0" fontId="1" fillId="2" borderId="13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10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11" fillId="0" borderId="0" xfId="0" applyFont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0" fillId="0" borderId="4" xfId="0" applyBorder="1" applyAlignment="1">
      <alignment horizontal="left" vertical="top" wrapText="1"/>
    </xf>
    <xf numFmtId="0" fontId="8" fillId="0" borderId="4" xfId="0" applyFont="1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</cellXfs>
  <cellStyles count="7">
    <cellStyle name="Hyperlink" xfId="1" builtinId="8"/>
    <cellStyle name="Normal" xfId="0" builtinId="0"/>
    <cellStyle name="常规 11" xfId="4" xr:uid="{00000000-0005-0000-0000-000033000000}"/>
    <cellStyle name="常规 3" xfId="5" xr:uid="{00000000-0005-0000-0000-000034000000}"/>
    <cellStyle name="常规_工作表 在 2012年二季度工作部署（电子商务）" xfId="6" xr:uid="{00000000-0005-0000-0000-000035000000}"/>
    <cellStyle name="标题 4 2" xfId="3" xr:uid="{00000000-0005-0000-0000-000032000000}"/>
    <cellStyle name="标题 4 2 2" xfId="2" xr:uid="{00000000-0005-0000-0000-000031000000}"/>
  </cellStyles>
  <dxfs count="0"/>
  <tableStyles count="0" defaultTableStyle="TableStyleMedium2" defaultPivotStyle="PivotStyleLight16"/>
  <colors>
    <mruColors>
      <color rgb="FFFFFF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ellimages.xml.rels><?xml version="1.0" encoding="UTF-8" standalone="yes"?>
<Relationships xmlns="http://schemas.openxmlformats.org/package/2006/relationships"><Relationship Id="rId117" Type="http://schemas.openxmlformats.org/officeDocument/2006/relationships/image" Target="media/image116.png"/><Relationship Id="rId84" Type="http://schemas.openxmlformats.org/officeDocument/2006/relationships/image" Target="media/image83.png"/><Relationship Id="rId63" Type="http://schemas.openxmlformats.org/officeDocument/2006/relationships/image" Target="media/image62.png"/><Relationship Id="rId42" Type="http://schemas.openxmlformats.org/officeDocument/2006/relationships/image" Target="media/image41.jpeg"/><Relationship Id="rId21" Type="http://schemas.openxmlformats.org/officeDocument/2006/relationships/image" Target="media/image21.png"/><Relationship Id="rId159" Type="http://schemas.openxmlformats.org/officeDocument/2006/relationships/image" Target="media/image158.png"/><Relationship Id="rId138" Type="http://schemas.openxmlformats.org/officeDocument/2006/relationships/image" Target="media/image137.png"/><Relationship Id="rId107" Type="http://schemas.openxmlformats.org/officeDocument/2006/relationships/image" Target="media/image106.png"/><Relationship Id="rId74" Type="http://schemas.openxmlformats.org/officeDocument/2006/relationships/image" Target="media/image73.jpeg"/><Relationship Id="rId53" Type="http://schemas.openxmlformats.org/officeDocument/2006/relationships/image" Target="media/image52.png"/><Relationship Id="rId32" Type="http://schemas.openxmlformats.org/officeDocument/2006/relationships/image" Target="NULL" TargetMode="External"/><Relationship Id="rId149" Type="http://schemas.openxmlformats.org/officeDocument/2006/relationships/image" Target="media/image148.png"/><Relationship Id="rId128" Type="http://schemas.openxmlformats.org/officeDocument/2006/relationships/image" Target="media/image127.png"/><Relationship Id="rId11" Type="http://schemas.openxmlformats.org/officeDocument/2006/relationships/image" Target="media/image11.png"/><Relationship Id="rId95" Type="http://schemas.openxmlformats.org/officeDocument/2006/relationships/image" Target="media/image94.png"/><Relationship Id="rId5" Type="http://schemas.openxmlformats.org/officeDocument/2006/relationships/image" Target="media/image5.png"/><Relationship Id="rId160" Type="http://schemas.openxmlformats.org/officeDocument/2006/relationships/image" Target="media/image159.png"/><Relationship Id="rId64" Type="http://schemas.openxmlformats.org/officeDocument/2006/relationships/image" Target="media/image63.png"/><Relationship Id="rId43" Type="http://schemas.openxmlformats.org/officeDocument/2006/relationships/image" Target="media/image42.png"/><Relationship Id="rId22" Type="http://schemas.openxmlformats.org/officeDocument/2006/relationships/image" Target="media/image22.png"/><Relationship Id="rId139" Type="http://schemas.openxmlformats.org/officeDocument/2006/relationships/image" Target="media/image138.png"/><Relationship Id="rId118" Type="http://schemas.openxmlformats.org/officeDocument/2006/relationships/image" Target="media/image117.png"/><Relationship Id="rId85" Type="http://schemas.openxmlformats.org/officeDocument/2006/relationships/image" Target="media/image84.png"/><Relationship Id="rId80" Type="http://schemas.openxmlformats.org/officeDocument/2006/relationships/image" Target="media/image79.png"/><Relationship Id="rId155" Type="http://schemas.openxmlformats.org/officeDocument/2006/relationships/image" Target="media/image154.png"/><Relationship Id="rId150" Type="http://schemas.openxmlformats.org/officeDocument/2006/relationships/image" Target="media/image149.png"/><Relationship Id="rId59" Type="http://schemas.openxmlformats.org/officeDocument/2006/relationships/image" Target="media/image58.png"/><Relationship Id="rId38" Type="http://schemas.openxmlformats.org/officeDocument/2006/relationships/image" Target="media/image37.png"/><Relationship Id="rId33" Type="http://schemas.openxmlformats.org/officeDocument/2006/relationships/image" Target="media/image32.png"/><Relationship Id="rId17" Type="http://schemas.openxmlformats.org/officeDocument/2006/relationships/image" Target="media/image17.png"/><Relationship Id="rId129" Type="http://schemas.openxmlformats.org/officeDocument/2006/relationships/image" Target="media/image128.png"/><Relationship Id="rId124" Type="http://schemas.openxmlformats.org/officeDocument/2006/relationships/image" Target="media/image123.png"/><Relationship Id="rId12" Type="http://schemas.openxmlformats.org/officeDocument/2006/relationships/image" Target="media/image12.png"/><Relationship Id="rId108" Type="http://schemas.openxmlformats.org/officeDocument/2006/relationships/image" Target="media/image107.png"/><Relationship Id="rId103" Type="http://schemas.openxmlformats.org/officeDocument/2006/relationships/image" Target="media/image102.png"/><Relationship Id="rId96" Type="http://schemas.openxmlformats.org/officeDocument/2006/relationships/image" Target="media/image95.png"/><Relationship Id="rId91" Type="http://schemas.openxmlformats.org/officeDocument/2006/relationships/image" Target="media/image90.png"/><Relationship Id="rId75" Type="http://schemas.openxmlformats.org/officeDocument/2006/relationships/image" Target="media/image74.jpeg"/><Relationship Id="rId70" Type="http://schemas.openxmlformats.org/officeDocument/2006/relationships/image" Target="media/image69.png"/><Relationship Id="rId54" Type="http://schemas.openxmlformats.org/officeDocument/2006/relationships/image" Target="media/image53.png"/><Relationship Id="rId145" Type="http://schemas.openxmlformats.org/officeDocument/2006/relationships/image" Target="media/image144.png"/><Relationship Id="rId140" Type="http://schemas.openxmlformats.org/officeDocument/2006/relationships/image" Target="media/image139.png"/><Relationship Id="rId6" Type="http://schemas.openxmlformats.org/officeDocument/2006/relationships/image" Target="media/image6.png"/><Relationship Id="rId1" Type="http://schemas.openxmlformats.org/officeDocument/2006/relationships/image" Target="media/image1.png"/><Relationship Id="rId49" Type="http://schemas.openxmlformats.org/officeDocument/2006/relationships/image" Target="media/image48.png"/><Relationship Id="rId28" Type="http://schemas.openxmlformats.org/officeDocument/2006/relationships/image" Target="media/image28.png"/><Relationship Id="rId23" Type="http://schemas.openxmlformats.org/officeDocument/2006/relationships/image" Target="media/image23.png"/><Relationship Id="rId119" Type="http://schemas.openxmlformats.org/officeDocument/2006/relationships/image" Target="media/image118.png"/><Relationship Id="rId114" Type="http://schemas.openxmlformats.org/officeDocument/2006/relationships/image" Target="media/image113.png"/><Relationship Id="rId86" Type="http://schemas.openxmlformats.org/officeDocument/2006/relationships/image" Target="media/image85.png"/><Relationship Id="rId81" Type="http://schemas.openxmlformats.org/officeDocument/2006/relationships/image" Target="media/image80.png"/><Relationship Id="rId65" Type="http://schemas.openxmlformats.org/officeDocument/2006/relationships/image" Target="media/image64.png"/><Relationship Id="rId60" Type="http://schemas.openxmlformats.org/officeDocument/2006/relationships/image" Target="media/image59.png"/><Relationship Id="rId44" Type="http://schemas.openxmlformats.org/officeDocument/2006/relationships/image" Target="media/image43.png"/><Relationship Id="rId156" Type="http://schemas.openxmlformats.org/officeDocument/2006/relationships/image" Target="media/image155.png"/><Relationship Id="rId151" Type="http://schemas.openxmlformats.org/officeDocument/2006/relationships/image" Target="media/image150.png"/><Relationship Id="rId135" Type="http://schemas.openxmlformats.org/officeDocument/2006/relationships/image" Target="media/image134.png"/><Relationship Id="rId130" Type="http://schemas.openxmlformats.org/officeDocument/2006/relationships/image" Target="media/image129.png"/><Relationship Id="rId39" Type="http://schemas.openxmlformats.org/officeDocument/2006/relationships/image" Target="media/image38.png"/><Relationship Id="rId18" Type="http://schemas.openxmlformats.org/officeDocument/2006/relationships/image" Target="media/image18.png"/><Relationship Id="rId13" Type="http://schemas.openxmlformats.org/officeDocument/2006/relationships/image" Target="media/image13.png"/><Relationship Id="rId109" Type="http://schemas.openxmlformats.org/officeDocument/2006/relationships/image" Target="media/image108.png"/><Relationship Id="rId97" Type="http://schemas.openxmlformats.org/officeDocument/2006/relationships/image" Target="media/image96.png"/><Relationship Id="rId76" Type="http://schemas.openxmlformats.org/officeDocument/2006/relationships/image" Target="media/image75.png"/><Relationship Id="rId55" Type="http://schemas.openxmlformats.org/officeDocument/2006/relationships/image" Target="media/image54.png"/><Relationship Id="rId50" Type="http://schemas.openxmlformats.org/officeDocument/2006/relationships/image" Target="media/image49.png"/><Relationship Id="rId34" Type="http://schemas.openxmlformats.org/officeDocument/2006/relationships/image" Target="media/image33.png"/><Relationship Id="rId146" Type="http://schemas.openxmlformats.org/officeDocument/2006/relationships/image" Target="media/image145.png"/><Relationship Id="rId141" Type="http://schemas.openxmlformats.org/officeDocument/2006/relationships/image" Target="media/image140.png"/><Relationship Id="rId125" Type="http://schemas.openxmlformats.org/officeDocument/2006/relationships/image" Target="media/image124.png"/><Relationship Id="rId120" Type="http://schemas.openxmlformats.org/officeDocument/2006/relationships/image" Target="media/image119.png"/><Relationship Id="rId104" Type="http://schemas.openxmlformats.org/officeDocument/2006/relationships/image" Target="media/image103.png"/><Relationship Id="rId92" Type="http://schemas.openxmlformats.org/officeDocument/2006/relationships/image" Target="media/image91.png"/><Relationship Id="rId71" Type="http://schemas.openxmlformats.org/officeDocument/2006/relationships/image" Target="media/image70.png"/><Relationship Id="rId7" Type="http://schemas.openxmlformats.org/officeDocument/2006/relationships/image" Target="media/image7.png"/><Relationship Id="rId29" Type="http://schemas.openxmlformats.org/officeDocument/2006/relationships/image" Target="media/image29.png"/><Relationship Id="rId2" Type="http://schemas.openxmlformats.org/officeDocument/2006/relationships/image" Target="media/image2.png"/><Relationship Id="rId87" Type="http://schemas.openxmlformats.org/officeDocument/2006/relationships/image" Target="media/image86.png"/><Relationship Id="rId66" Type="http://schemas.openxmlformats.org/officeDocument/2006/relationships/image" Target="media/image65.png"/><Relationship Id="rId45" Type="http://schemas.openxmlformats.org/officeDocument/2006/relationships/image" Target="media/image44.png"/><Relationship Id="rId40" Type="http://schemas.openxmlformats.org/officeDocument/2006/relationships/image" Target="media/image39.png"/><Relationship Id="rId24" Type="http://schemas.openxmlformats.org/officeDocument/2006/relationships/image" Target="media/image24.png"/><Relationship Id="rId157" Type="http://schemas.openxmlformats.org/officeDocument/2006/relationships/image" Target="media/image156.png"/><Relationship Id="rId136" Type="http://schemas.openxmlformats.org/officeDocument/2006/relationships/image" Target="media/image135.png"/><Relationship Id="rId131" Type="http://schemas.openxmlformats.org/officeDocument/2006/relationships/image" Target="media/image130.png"/><Relationship Id="rId115" Type="http://schemas.openxmlformats.org/officeDocument/2006/relationships/image" Target="media/image114.png"/><Relationship Id="rId110" Type="http://schemas.openxmlformats.org/officeDocument/2006/relationships/image" Target="media/image109.png"/><Relationship Id="rId82" Type="http://schemas.openxmlformats.org/officeDocument/2006/relationships/image" Target="media/image81.png"/><Relationship Id="rId61" Type="http://schemas.openxmlformats.org/officeDocument/2006/relationships/image" Target="media/image60.png"/><Relationship Id="rId152" Type="http://schemas.openxmlformats.org/officeDocument/2006/relationships/image" Target="media/image151.png"/><Relationship Id="rId19" Type="http://schemas.openxmlformats.org/officeDocument/2006/relationships/image" Target="media/image19.png"/><Relationship Id="rId77" Type="http://schemas.openxmlformats.org/officeDocument/2006/relationships/image" Target="media/image76.png"/><Relationship Id="rId56" Type="http://schemas.openxmlformats.org/officeDocument/2006/relationships/image" Target="media/image55.png"/><Relationship Id="rId35" Type="http://schemas.openxmlformats.org/officeDocument/2006/relationships/image" Target="media/image34.png"/><Relationship Id="rId30" Type="http://schemas.openxmlformats.org/officeDocument/2006/relationships/image" Target="media/image30.png"/><Relationship Id="rId147" Type="http://schemas.openxmlformats.org/officeDocument/2006/relationships/image" Target="media/image146.png"/><Relationship Id="rId14" Type="http://schemas.openxmlformats.org/officeDocument/2006/relationships/image" Target="media/image14.png"/><Relationship Id="rId126" Type="http://schemas.openxmlformats.org/officeDocument/2006/relationships/image" Target="media/image125.png"/><Relationship Id="rId105" Type="http://schemas.openxmlformats.org/officeDocument/2006/relationships/image" Target="media/image104.png"/><Relationship Id="rId100" Type="http://schemas.openxmlformats.org/officeDocument/2006/relationships/image" Target="media/image99.png"/><Relationship Id="rId98" Type="http://schemas.openxmlformats.org/officeDocument/2006/relationships/image" Target="media/image97.png"/><Relationship Id="rId93" Type="http://schemas.openxmlformats.org/officeDocument/2006/relationships/image" Target="media/image92.png"/><Relationship Id="rId8" Type="http://schemas.openxmlformats.org/officeDocument/2006/relationships/image" Target="media/image8.png"/><Relationship Id="rId72" Type="http://schemas.openxmlformats.org/officeDocument/2006/relationships/image" Target="media/image71.png"/><Relationship Id="rId51" Type="http://schemas.openxmlformats.org/officeDocument/2006/relationships/image" Target="media/image50.png"/><Relationship Id="rId142" Type="http://schemas.openxmlformats.org/officeDocument/2006/relationships/image" Target="media/image141.png"/><Relationship Id="rId121" Type="http://schemas.openxmlformats.org/officeDocument/2006/relationships/image" Target="media/image120.png"/><Relationship Id="rId3" Type="http://schemas.openxmlformats.org/officeDocument/2006/relationships/image" Target="media/image3.png"/><Relationship Id="rId67" Type="http://schemas.openxmlformats.org/officeDocument/2006/relationships/image" Target="media/image66.png"/><Relationship Id="rId46" Type="http://schemas.openxmlformats.org/officeDocument/2006/relationships/image" Target="media/image45.png"/><Relationship Id="rId25" Type="http://schemas.openxmlformats.org/officeDocument/2006/relationships/image" Target="media/image25.png"/><Relationship Id="rId158" Type="http://schemas.openxmlformats.org/officeDocument/2006/relationships/image" Target="media/image157.png"/><Relationship Id="rId137" Type="http://schemas.openxmlformats.org/officeDocument/2006/relationships/image" Target="media/image136.png"/><Relationship Id="rId116" Type="http://schemas.openxmlformats.org/officeDocument/2006/relationships/image" Target="media/image115.png"/><Relationship Id="rId88" Type="http://schemas.openxmlformats.org/officeDocument/2006/relationships/image" Target="media/image87.png"/><Relationship Id="rId83" Type="http://schemas.openxmlformats.org/officeDocument/2006/relationships/image" Target="media/image82.png"/><Relationship Id="rId62" Type="http://schemas.openxmlformats.org/officeDocument/2006/relationships/image" Target="media/image61.png"/><Relationship Id="rId41" Type="http://schemas.openxmlformats.org/officeDocument/2006/relationships/image" Target="media/image40.png"/><Relationship Id="rId20" Type="http://schemas.openxmlformats.org/officeDocument/2006/relationships/image" Target="media/image20.png"/><Relationship Id="rId153" Type="http://schemas.openxmlformats.org/officeDocument/2006/relationships/image" Target="media/image152.png"/><Relationship Id="rId132" Type="http://schemas.openxmlformats.org/officeDocument/2006/relationships/image" Target="media/image131.png"/><Relationship Id="rId111" Type="http://schemas.openxmlformats.org/officeDocument/2006/relationships/image" Target="media/image110.png"/><Relationship Id="rId57" Type="http://schemas.openxmlformats.org/officeDocument/2006/relationships/image" Target="media/image56.png"/><Relationship Id="rId36" Type="http://schemas.openxmlformats.org/officeDocument/2006/relationships/image" Target="media/image35.png"/><Relationship Id="rId15" Type="http://schemas.openxmlformats.org/officeDocument/2006/relationships/image" Target="media/image15.png"/><Relationship Id="rId127" Type="http://schemas.openxmlformats.org/officeDocument/2006/relationships/image" Target="media/image126.png"/><Relationship Id="rId106" Type="http://schemas.openxmlformats.org/officeDocument/2006/relationships/image" Target="media/image105.png"/><Relationship Id="rId99" Type="http://schemas.openxmlformats.org/officeDocument/2006/relationships/image" Target="media/image98.png"/><Relationship Id="rId94" Type="http://schemas.openxmlformats.org/officeDocument/2006/relationships/image" Target="media/image93.png"/><Relationship Id="rId78" Type="http://schemas.openxmlformats.org/officeDocument/2006/relationships/image" Target="media/image77.png"/><Relationship Id="rId73" Type="http://schemas.openxmlformats.org/officeDocument/2006/relationships/image" Target="media/image72.jpeg"/><Relationship Id="rId52" Type="http://schemas.openxmlformats.org/officeDocument/2006/relationships/image" Target="media/image51.png"/><Relationship Id="rId31" Type="http://schemas.openxmlformats.org/officeDocument/2006/relationships/image" Target="media/image31.jpeg"/><Relationship Id="rId148" Type="http://schemas.openxmlformats.org/officeDocument/2006/relationships/image" Target="media/image147.png"/><Relationship Id="rId143" Type="http://schemas.openxmlformats.org/officeDocument/2006/relationships/image" Target="media/image142.png"/><Relationship Id="rId122" Type="http://schemas.openxmlformats.org/officeDocument/2006/relationships/image" Target="media/image121.png"/><Relationship Id="rId101" Type="http://schemas.openxmlformats.org/officeDocument/2006/relationships/image" Target="media/image100.png"/><Relationship Id="rId10" Type="http://schemas.openxmlformats.org/officeDocument/2006/relationships/image" Target="media/image10.png"/><Relationship Id="rId9" Type="http://schemas.openxmlformats.org/officeDocument/2006/relationships/image" Target="media/image9.png"/><Relationship Id="rId4" Type="http://schemas.openxmlformats.org/officeDocument/2006/relationships/image" Target="media/image4.png"/><Relationship Id="rId26" Type="http://schemas.openxmlformats.org/officeDocument/2006/relationships/image" Target="media/image26.png"/><Relationship Id="rId89" Type="http://schemas.openxmlformats.org/officeDocument/2006/relationships/image" Target="media/image88.png"/><Relationship Id="rId68" Type="http://schemas.openxmlformats.org/officeDocument/2006/relationships/image" Target="media/image67.png"/><Relationship Id="rId47" Type="http://schemas.openxmlformats.org/officeDocument/2006/relationships/image" Target="media/image46.png"/><Relationship Id="rId154" Type="http://schemas.openxmlformats.org/officeDocument/2006/relationships/image" Target="media/image153.png"/><Relationship Id="rId133" Type="http://schemas.openxmlformats.org/officeDocument/2006/relationships/image" Target="media/image132.png"/><Relationship Id="rId112" Type="http://schemas.openxmlformats.org/officeDocument/2006/relationships/image" Target="media/image111.png"/><Relationship Id="rId16" Type="http://schemas.openxmlformats.org/officeDocument/2006/relationships/image" Target="media/image16.png"/><Relationship Id="rId79" Type="http://schemas.openxmlformats.org/officeDocument/2006/relationships/image" Target="media/image78.png"/><Relationship Id="rId58" Type="http://schemas.openxmlformats.org/officeDocument/2006/relationships/image" Target="media/image57.png"/><Relationship Id="rId37" Type="http://schemas.openxmlformats.org/officeDocument/2006/relationships/image" Target="media/image36.png"/><Relationship Id="rId144" Type="http://schemas.openxmlformats.org/officeDocument/2006/relationships/image" Target="media/image143.png"/><Relationship Id="rId123" Type="http://schemas.openxmlformats.org/officeDocument/2006/relationships/image" Target="media/image122.png"/><Relationship Id="rId102" Type="http://schemas.openxmlformats.org/officeDocument/2006/relationships/image" Target="media/image101.png"/><Relationship Id="rId90" Type="http://schemas.openxmlformats.org/officeDocument/2006/relationships/image" Target="media/image89.png"/><Relationship Id="rId69" Type="http://schemas.openxmlformats.org/officeDocument/2006/relationships/image" Target="media/image68.png"/><Relationship Id="rId48" Type="http://schemas.openxmlformats.org/officeDocument/2006/relationships/image" Target="media/image47.png"/><Relationship Id="rId27" Type="http://schemas.openxmlformats.org/officeDocument/2006/relationships/image" Target="media/image27.png"/><Relationship Id="rId134" Type="http://schemas.openxmlformats.org/officeDocument/2006/relationships/image" Target="media/image133.png"/><Relationship Id="rId113" Type="http://schemas.openxmlformats.org/officeDocument/2006/relationships/image" Target="media/image112.png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www.wps.cn/officeDocument/2020/cellImage" Target="cellimag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75"/>
  <sheetViews>
    <sheetView tabSelected="1" zoomScale="85" zoomScaleNormal="85" workbookViewId="0">
      <selection activeCell="J13" sqref="J13"/>
    </sheetView>
  </sheetViews>
  <sheetFormatPr defaultColWidth="9" defaultRowHeight="21"/>
  <cols>
    <col min="1" max="1" width="16.453125" style="101" customWidth="1"/>
    <col min="2" max="2" width="36.08984375" style="101" customWidth="1"/>
    <col min="3" max="3" width="32.6328125" style="101" customWidth="1"/>
    <col min="4" max="4" width="28.7265625" style="101" customWidth="1"/>
    <col min="5" max="5" width="20.90625" style="101" customWidth="1"/>
    <col min="6" max="6" width="22.08984375" style="101" hidden="1" customWidth="1"/>
    <col min="7" max="16384" width="9" style="101"/>
  </cols>
  <sheetData>
    <row r="1" spans="1:6" ht="35" customHeight="1">
      <c r="A1" s="104" t="s">
        <v>0</v>
      </c>
      <c r="B1" s="105" t="s">
        <v>1</v>
      </c>
      <c r="C1" s="104" t="s">
        <v>2</v>
      </c>
      <c r="D1" s="104" t="s">
        <v>3</v>
      </c>
      <c r="E1" s="105" t="s">
        <v>4</v>
      </c>
      <c r="F1" s="105" t="s">
        <v>5</v>
      </c>
    </row>
    <row r="2" spans="1:6">
      <c r="A2" s="131" t="str">
        <f>_xlfn.DISPIMG("ID_04DCB2B742644F9A8112C00546DD60AF",1)</f>
        <v>=DISPIMG("ID_04DCB2B742644F9A8112C00546DD60AF",1)</v>
      </c>
      <c r="B2" s="106" t="s">
        <v>6</v>
      </c>
      <c r="C2" s="107" t="s">
        <v>7</v>
      </c>
      <c r="D2" s="108">
        <v>9</v>
      </c>
      <c r="E2" s="109">
        <v>1.1000000000000001</v>
      </c>
      <c r="F2" s="110" t="s">
        <v>8</v>
      </c>
    </row>
    <row r="3" spans="1:6">
      <c r="A3" s="132"/>
      <c r="B3" s="106" t="s">
        <v>9</v>
      </c>
      <c r="C3" s="107" t="s">
        <v>10</v>
      </c>
      <c r="D3" s="108">
        <v>12</v>
      </c>
      <c r="E3" s="109">
        <v>1.2</v>
      </c>
      <c r="F3" s="110" t="s">
        <v>8</v>
      </c>
    </row>
    <row r="4" spans="1:6">
      <c r="A4" s="132"/>
      <c r="B4" s="106" t="s">
        <v>11</v>
      </c>
      <c r="C4" s="107" t="s">
        <v>12</v>
      </c>
      <c r="D4" s="108">
        <v>10</v>
      </c>
      <c r="E4" s="109">
        <v>1.2</v>
      </c>
      <c r="F4" s="110" t="s">
        <v>8</v>
      </c>
    </row>
    <row r="5" spans="1:6">
      <c r="A5" s="132"/>
      <c r="B5" s="106" t="s">
        <v>13</v>
      </c>
      <c r="C5" s="107" t="s">
        <v>14</v>
      </c>
      <c r="D5" s="108">
        <v>14.5</v>
      </c>
      <c r="E5" s="109">
        <v>1.6</v>
      </c>
      <c r="F5" s="110" t="s">
        <v>8</v>
      </c>
    </row>
    <row r="6" spans="1:6">
      <c r="A6" s="132"/>
      <c r="B6" s="106" t="s">
        <v>15</v>
      </c>
      <c r="C6" s="107" t="s">
        <v>16</v>
      </c>
      <c r="D6" s="108">
        <v>15</v>
      </c>
      <c r="E6" s="109">
        <v>1.4</v>
      </c>
      <c r="F6" s="110" t="s">
        <v>8</v>
      </c>
    </row>
    <row r="7" spans="1:6">
      <c r="A7" s="132"/>
      <c r="B7" s="106" t="s">
        <v>17</v>
      </c>
      <c r="C7" s="107" t="s">
        <v>18</v>
      </c>
      <c r="D7" s="108">
        <v>18</v>
      </c>
      <c r="E7" s="109">
        <v>1.8</v>
      </c>
      <c r="F7" s="110" t="s">
        <v>8</v>
      </c>
    </row>
    <row r="8" spans="1:6">
      <c r="A8" s="132"/>
      <c r="B8" s="106" t="s">
        <v>19</v>
      </c>
      <c r="C8" s="107" t="s">
        <v>20</v>
      </c>
      <c r="D8" s="108">
        <v>22</v>
      </c>
      <c r="E8" s="109">
        <v>2.2999999999999998</v>
      </c>
      <c r="F8" s="110" t="s">
        <v>8</v>
      </c>
    </row>
    <row r="9" spans="1:6">
      <c r="A9" s="132"/>
      <c r="B9" s="106" t="s">
        <v>21</v>
      </c>
      <c r="C9" s="107" t="s">
        <v>22</v>
      </c>
      <c r="D9" s="108">
        <v>25.5</v>
      </c>
      <c r="E9" s="109">
        <v>2.8</v>
      </c>
      <c r="F9" s="110" t="s">
        <v>8</v>
      </c>
    </row>
    <row r="10" spans="1:6">
      <c r="A10" s="133"/>
      <c r="B10" s="106" t="s">
        <v>23</v>
      </c>
      <c r="C10" s="107" t="s">
        <v>24</v>
      </c>
      <c r="D10" s="108">
        <v>29.5</v>
      </c>
      <c r="E10" s="109">
        <v>3.1</v>
      </c>
      <c r="F10" s="110" t="s">
        <v>8</v>
      </c>
    </row>
    <row r="11" spans="1:6" ht="20" customHeight="1">
      <c r="A11" s="132" t="str">
        <f>_xlfn.DISPIMG("ID_1C8ED1CCA70E4864B44FAE26F702EF96",1)</f>
        <v>=DISPIMG("ID_1C8ED1CCA70E4864B44FAE26F702EF96",1)</v>
      </c>
      <c r="B11" s="106" t="s">
        <v>25</v>
      </c>
      <c r="C11" s="107" t="s">
        <v>26</v>
      </c>
      <c r="D11" s="111">
        <v>3</v>
      </c>
      <c r="E11" s="109">
        <v>0.24</v>
      </c>
      <c r="F11" s="110" t="s">
        <v>27</v>
      </c>
    </row>
    <row r="12" spans="1:6" ht="20" customHeight="1">
      <c r="A12" s="132"/>
      <c r="B12" s="106" t="s">
        <v>28</v>
      </c>
      <c r="C12" s="107" t="s">
        <v>29</v>
      </c>
      <c r="D12" s="111">
        <v>5.5</v>
      </c>
      <c r="E12" s="106">
        <v>0.51</v>
      </c>
      <c r="F12" s="110" t="s">
        <v>30</v>
      </c>
    </row>
    <row r="13" spans="1:6" ht="20" customHeight="1">
      <c r="A13" s="132"/>
      <c r="B13" s="106" t="s">
        <v>31</v>
      </c>
      <c r="C13" s="107" t="s">
        <v>32</v>
      </c>
      <c r="D13" s="111">
        <v>9</v>
      </c>
      <c r="E13" s="106">
        <v>0.91</v>
      </c>
      <c r="F13" s="110" t="s">
        <v>30</v>
      </c>
    </row>
    <row r="14" spans="1:6" ht="20" customHeight="1">
      <c r="A14" s="132"/>
      <c r="B14" s="106" t="s">
        <v>33</v>
      </c>
      <c r="C14" s="107" t="s">
        <v>34</v>
      </c>
      <c r="D14" s="111">
        <v>10.5</v>
      </c>
      <c r="E14" s="106">
        <v>1.01</v>
      </c>
      <c r="F14" s="110" t="s">
        <v>30</v>
      </c>
    </row>
    <row r="15" spans="1:6" ht="20" customHeight="1">
      <c r="A15" s="132"/>
      <c r="B15" s="106" t="s">
        <v>35</v>
      </c>
      <c r="C15" s="107" t="s">
        <v>36</v>
      </c>
      <c r="D15" s="111">
        <v>12.5</v>
      </c>
      <c r="E15" s="106">
        <v>1.25</v>
      </c>
      <c r="F15" s="110" t="s">
        <v>30</v>
      </c>
    </row>
    <row r="16" spans="1:6" ht="20" customHeight="1">
      <c r="A16" s="132"/>
      <c r="B16" s="106" t="s">
        <v>37</v>
      </c>
      <c r="C16" s="107" t="s">
        <v>38</v>
      </c>
      <c r="D16" s="112">
        <v>4.5</v>
      </c>
      <c r="E16" s="113">
        <v>0.4</v>
      </c>
      <c r="F16" s="110" t="s">
        <v>30</v>
      </c>
    </row>
    <row r="17" spans="1:6" ht="20" customHeight="1">
      <c r="A17" s="132"/>
      <c r="B17" s="106" t="s">
        <v>39</v>
      </c>
      <c r="C17" s="107" t="s">
        <v>40</v>
      </c>
      <c r="D17" s="112">
        <v>6.5</v>
      </c>
      <c r="E17" s="113">
        <v>0.6</v>
      </c>
      <c r="F17" s="110" t="s">
        <v>30</v>
      </c>
    </row>
    <row r="18" spans="1:6" ht="20" customHeight="1">
      <c r="A18" s="133"/>
      <c r="B18" s="106" t="s">
        <v>41</v>
      </c>
      <c r="C18" s="107" t="s">
        <v>42</v>
      </c>
      <c r="D18" s="112">
        <v>10.5</v>
      </c>
      <c r="E18" s="113">
        <v>0.95499999999999996</v>
      </c>
      <c r="F18" s="110" t="s">
        <v>30</v>
      </c>
    </row>
    <row r="19" spans="1:6" ht="20" customHeight="1">
      <c r="A19" s="132" t="str">
        <f>_xlfn.DISPIMG("ID_46BFC44E2A484FAABD9F6CF1E3C569C0",1)</f>
        <v>=DISPIMG("ID_46BFC44E2A484FAABD9F6CF1E3C569C0",1)</v>
      </c>
      <c r="B19" s="114" t="s">
        <v>43</v>
      </c>
      <c r="C19" s="107" t="s">
        <v>44</v>
      </c>
      <c r="D19" s="115">
        <v>3.8</v>
      </c>
      <c r="E19" s="116" t="s">
        <v>45</v>
      </c>
      <c r="F19" s="110" t="s">
        <v>27</v>
      </c>
    </row>
    <row r="20" spans="1:6" ht="20" customHeight="1">
      <c r="A20" s="132"/>
      <c r="B20" s="117" t="s">
        <v>46</v>
      </c>
      <c r="C20" s="118" t="s">
        <v>47</v>
      </c>
      <c r="D20" s="112">
        <v>7</v>
      </c>
      <c r="E20" s="109">
        <v>0.75</v>
      </c>
      <c r="F20" s="110" t="s">
        <v>30</v>
      </c>
    </row>
    <row r="21" spans="1:6" ht="20" customHeight="1">
      <c r="A21" s="132"/>
      <c r="B21" s="117" t="s">
        <v>48</v>
      </c>
      <c r="C21" s="118" t="s">
        <v>49</v>
      </c>
      <c r="D21" s="112">
        <v>8</v>
      </c>
      <c r="E21" s="109">
        <v>0.9</v>
      </c>
      <c r="F21" s="110" t="s">
        <v>30</v>
      </c>
    </row>
    <row r="22" spans="1:6" ht="20" customHeight="1">
      <c r="A22" s="132"/>
      <c r="B22" s="117" t="s">
        <v>50</v>
      </c>
      <c r="C22" s="118" t="s">
        <v>51</v>
      </c>
      <c r="D22" s="112">
        <v>10</v>
      </c>
      <c r="E22" s="109">
        <v>1.05</v>
      </c>
      <c r="F22" s="110" t="s">
        <v>30</v>
      </c>
    </row>
    <row r="23" spans="1:6" ht="20" customHeight="1">
      <c r="A23" s="132"/>
      <c r="B23" s="117" t="s">
        <v>52</v>
      </c>
      <c r="C23" s="118" t="s">
        <v>53</v>
      </c>
      <c r="D23" s="112">
        <v>11.5</v>
      </c>
      <c r="E23" s="109">
        <v>1.25</v>
      </c>
      <c r="F23" s="110" t="s">
        <v>30</v>
      </c>
    </row>
    <row r="24" spans="1:6" ht="20" customHeight="1">
      <c r="A24" s="131" t="str">
        <f>_xlfn.DISPIMG("ID_8C3950757A3747A68E225CE6A10AF5B8",1)</f>
        <v>=DISPIMG("ID_8C3950757A3747A68E225CE6A10AF5B8",1)</v>
      </c>
      <c r="B24" s="119" t="s">
        <v>54</v>
      </c>
      <c r="C24" s="118" t="s">
        <v>47</v>
      </c>
      <c r="D24" s="111">
        <v>7</v>
      </c>
      <c r="E24" s="119">
        <v>0.77</v>
      </c>
      <c r="F24" s="110" t="s">
        <v>30</v>
      </c>
    </row>
    <row r="25" spans="1:6" ht="20" customHeight="1">
      <c r="A25" s="132"/>
      <c r="B25" s="119" t="s">
        <v>55</v>
      </c>
      <c r="C25" s="118" t="s">
        <v>49</v>
      </c>
      <c r="D25" s="111">
        <v>8</v>
      </c>
      <c r="E25" s="119">
        <v>0.9</v>
      </c>
      <c r="F25" s="110" t="s">
        <v>30</v>
      </c>
    </row>
    <row r="26" spans="1:6" ht="20" customHeight="1">
      <c r="A26" s="132"/>
      <c r="B26" s="119" t="s">
        <v>56</v>
      </c>
      <c r="C26" s="118" t="s">
        <v>51</v>
      </c>
      <c r="D26" s="111">
        <v>10</v>
      </c>
      <c r="E26" s="119">
        <v>1.22</v>
      </c>
      <c r="F26" s="110" t="s">
        <v>30</v>
      </c>
    </row>
    <row r="27" spans="1:6" ht="20" customHeight="1">
      <c r="A27" s="133"/>
      <c r="B27" s="119" t="s">
        <v>57</v>
      </c>
      <c r="C27" s="118" t="s">
        <v>53</v>
      </c>
      <c r="D27" s="111">
        <v>11.5</v>
      </c>
      <c r="E27" s="119">
        <v>1.5</v>
      </c>
      <c r="F27" s="110" t="s">
        <v>30</v>
      </c>
    </row>
    <row r="28" spans="1:6" ht="20" customHeight="1">
      <c r="A28" s="132" t="str">
        <f>_xlfn.DISPIMG("ID_A8B992517CC7473E859DEE1C014C470A",1)</f>
        <v>=DISPIMG("ID_A8B992517CC7473E859DEE1C014C470A",1)</v>
      </c>
      <c r="B28" s="119" t="s">
        <v>58</v>
      </c>
      <c r="C28" s="118" t="s">
        <v>44</v>
      </c>
      <c r="D28" s="111">
        <v>4.2</v>
      </c>
      <c r="E28" s="119">
        <v>0.34</v>
      </c>
      <c r="F28" s="115" t="s">
        <v>27</v>
      </c>
    </row>
    <row r="29" spans="1:6" ht="20" customHeight="1">
      <c r="A29" s="132"/>
      <c r="B29" s="119" t="s">
        <v>59</v>
      </c>
      <c r="C29" s="118" t="s">
        <v>47</v>
      </c>
      <c r="D29" s="112">
        <v>7</v>
      </c>
      <c r="E29" s="109">
        <v>0.8</v>
      </c>
      <c r="F29" s="110" t="s">
        <v>30</v>
      </c>
    </row>
    <row r="30" spans="1:6" ht="20" customHeight="1">
      <c r="A30" s="132"/>
      <c r="B30" s="119" t="s">
        <v>60</v>
      </c>
      <c r="C30" s="118" t="s">
        <v>49</v>
      </c>
      <c r="D30" s="112">
        <v>9.5</v>
      </c>
      <c r="E30" s="109">
        <v>1</v>
      </c>
      <c r="F30" s="110" t="s">
        <v>30</v>
      </c>
    </row>
    <row r="31" spans="1:6" ht="20" customHeight="1">
      <c r="A31" s="132"/>
      <c r="B31" s="119" t="s">
        <v>61</v>
      </c>
      <c r="C31" s="118" t="s">
        <v>51</v>
      </c>
      <c r="D31" s="112">
        <v>11</v>
      </c>
      <c r="E31" s="109">
        <v>1.1000000000000001</v>
      </c>
      <c r="F31" s="110" t="s">
        <v>30</v>
      </c>
    </row>
    <row r="32" spans="1:6" ht="20" customHeight="1">
      <c r="A32" s="133"/>
      <c r="B32" s="119" t="s">
        <v>62</v>
      </c>
      <c r="C32" s="118" t="s">
        <v>53</v>
      </c>
      <c r="D32" s="112">
        <v>13.5</v>
      </c>
      <c r="E32" s="109">
        <v>1.4</v>
      </c>
      <c r="F32" s="110" t="s">
        <v>30</v>
      </c>
    </row>
    <row r="33" spans="1:7" ht="20" customHeight="1">
      <c r="A33" s="131" t="str">
        <f>_xlfn.DISPIMG("ID_0864C51A68FD493F9BADABDBBA1921C0",1)</f>
        <v>=DISPIMG("ID_0864C51A68FD493F9BADABDBBA1921C0",1)</v>
      </c>
      <c r="B33" s="119" t="s">
        <v>63</v>
      </c>
      <c r="C33" s="118" t="s">
        <v>47</v>
      </c>
      <c r="D33" s="112">
        <v>7</v>
      </c>
      <c r="E33" s="119">
        <v>0.82</v>
      </c>
      <c r="F33" s="110" t="s">
        <v>30</v>
      </c>
    </row>
    <row r="34" spans="1:7" ht="20" customHeight="1">
      <c r="A34" s="132"/>
      <c r="B34" s="119" t="s">
        <v>64</v>
      </c>
      <c r="C34" s="118" t="s">
        <v>49</v>
      </c>
      <c r="D34" s="112">
        <v>9.5</v>
      </c>
      <c r="E34" s="119">
        <v>0.91</v>
      </c>
      <c r="F34" s="110" t="s">
        <v>30</v>
      </c>
    </row>
    <row r="35" spans="1:7" ht="20" customHeight="1">
      <c r="A35" s="132"/>
      <c r="B35" s="119" t="s">
        <v>65</v>
      </c>
      <c r="C35" s="118" t="s">
        <v>51</v>
      </c>
      <c r="D35" s="112">
        <v>11</v>
      </c>
      <c r="E35" s="119">
        <v>1.35</v>
      </c>
      <c r="F35" s="110" t="s">
        <v>30</v>
      </c>
    </row>
    <row r="36" spans="1:7" ht="20" customHeight="1">
      <c r="A36" s="133"/>
      <c r="B36" s="119" t="s">
        <v>66</v>
      </c>
      <c r="C36" s="118" t="s">
        <v>53</v>
      </c>
      <c r="D36" s="112">
        <v>13.5</v>
      </c>
      <c r="E36" s="119">
        <v>1.54</v>
      </c>
      <c r="F36" s="110" t="s">
        <v>30</v>
      </c>
    </row>
    <row r="37" spans="1:7" s="100" customFormat="1" ht="20" customHeight="1">
      <c r="A37" s="134" t="str">
        <f>_xlfn.DISPIMG("ID_044B134D3F6D4273AC2381557E3535A3",1)</f>
        <v>=DISPIMG("ID_044B134D3F6D4273AC2381557E3535A3",1)</v>
      </c>
      <c r="B37" s="119" t="s">
        <v>67</v>
      </c>
      <c r="C37" s="120" t="s">
        <v>68</v>
      </c>
      <c r="D37" s="115">
        <v>7.5</v>
      </c>
      <c r="E37" s="120">
        <v>1</v>
      </c>
      <c r="F37" s="115"/>
      <c r="G37" s="102"/>
    </row>
    <row r="38" spans="1:7" s="100" customFormat="1" ht="20" customHeight="1">
      <c r="A38" s="134"/>
      <c r="B38" s="119" t="s">
        <v>69</v>
      </c>
      <c r="C38" s="120" t="s">
        <v>70</v>
      </c>
      <c r="D38" s="115">
        <v>9</v>
      </c>
      <c r="E38" s="119">
        <v>1.1000000000000001</v>
      </c>
      <c r="F38" s="115"/>
      <c r="G38" s="102"/>
    </row>
    <row r="39" spans="1:7" ht="20" customHeight="1">
      <c r="A39" s="134"/>
      <c r="B39" s="119" t="s">
        <v>71</v>
      </c>
      <c r="C39" s="120" t="s">
        <v>7</v>
      </c>
      <c r="D39" s="115">
        <v>9.5</v>
      </c>
      <c r="E39" s="119">
        <v>1.21</v>
      </c>
      <c r="F39" s="115"/>
    </row>
    <row r="40" spans="1:7" ht="20" customHeight="1">
      <c r="A40" s="134"/>
      <c r="B40" s="119" t="s">
        <v>72</v>
      </c>
      <c r="C40" s="120" t="s">
        <v>12</v>
      </c>
      <c r="D40" s="115">
        <v>12.4</v>
      </c>
      <c r="E40" s="119">
        <v>1.4</v>
      </c>
      <c r="F40" s="115"/>
    </row>
    <row r="41" spans="1:7" ht="20" customHeight="1">
      <c r="A41" s="134"/>
      <c r="B41" s="119" t="s">
        <v>73</v>
      </c>
      <c r="C41" s="120" t="s">
        <v>14</v>
      </c>
      <c r="D41" s="111">
        <v>14.5</v>
      </c>
      <c r="E41" s="119">
        <v>1.7</v>
      </c>
      <c r="F41" s="115" t="s">
        <v>30</v>
      </c>
    </row>
    <row r="42" spans="1:7" s="100" customFormat="1" ht="20" customHeight="1">
      <c r="A42" s="134"/>
      <c r="B42" s="119" t="s">
        <v>74</v>
      </c>
      <c r="C42" s="120" t="s">
        <v>16</v>
      </c>
      <c r="D42" s="111">
        <v>14</v>
      </c>
      <c r="E42" s="119">
        <v>1.86</v>
      </c>
      <c r="F42" s="115"/>
      <c r="G42" s="102"/>
    </row>
    <row r="43" spans="1:7" ht="20" customHeight="1">
      <c r="A43" s="134"/>
      <c r="B43" s="119" t="s">
        <v>75</v>
      </c>
      <c r="C43" s="120" t="s">
        <v>18</v>
      </c>
      <c r="D43" s="111">
        <v>17</v>
      </c>
      <c r="E43" s="119">
        <v>2.2000000000000002</v>
      </c>
      <c r="F43" s="108" t="s">
        <v>30</v>
      </c>
    </row>
    <row r="44" spans="1:7" ht="19" customHeight="1">
      <c r="A44" s="134"/>
      <c r="B44" s="119" t="s">
        <v>76</v>
      </c>
      <c r="C44" s="121" t="s">
        <v>20</v>
      </c>
      <c r="D44" s="108">
        <v>20</v>
      </c>
      <c r="E44" s="109">
        <v>2.38</v>
      </c>
      <c r="F44" s="108" t="s">
        <v>30</v>
      </c>
    </row>
    <row r="45" spans="1:7" ht="50" customHeight="1">
      <c r="A45" s="106" t="str">
        <f>_xlfn.DISPIMG("ID_9E55AB85037D4004BADC1079BE4F1AB9",1)</f>
        <v>=DISPIMG("ID_9E55AB85037D4004BADC1079BE4F1AB9",1)</v>
      </c>
      <c r="B45" s="122" t="s">
        <v>77</v>
      </c>
      <c r="C45" s="123" t="s">
        <v>78</v>
      </c>
      <c r="D45" s="124">
        <v>25</v>
      </c>
      <c r="E45" s="122">
        <v>2.7</v>
      </c>
      <c r="F45" s="115" t="s">
        <v>79</v>
      </c>
    </row>
    <row r="46" spans="1:7" ht="50" customHeight="1">
      <c r="A46" s="106" t="str">
        <f>_xlfn.DISPIMG("ID_57F934D3F1D54CB9823C910AC67B4941",1)</f>
        <v>=DISPIMG("ID_57F934D3F1D54CB9823C910AC67B4941",1)</v>
      </c>
      <c r="B46" s="122" t="s">
        <v>80</v>
      </c>
      <c r="C46" s="122" t="s">
        <v>81</v>
      </c>
      <c r="D46" s="124">
        <v>21</v>
      </c>
      <c r="E46" s="122">
        <v>2.2999999999999998</v>
      </c>
      <c r="F46" s="115" t="s">
        <v>79</v>
      </c>
    </row>
    <row r="47" spans="1:7" ht="50" customHeight="1">
      <c r="A47" s="106" t="str">
        <f>_xlfn.DISPIMG("ID_6C014512E09E4B9AA3BE5BBE9A729BD1",1)</f>
        <v>=DISPIMG("ID_6C014512E09E4B9AA3BE5BBE9A729BD1",1)</v>
      </c>
      <c r="B47" s="106" t="s">
        <v>82</v>
      </c>
      <c r="C47" s="106" t="s">
        <v>83</v>
      </c>
      <c r="D47" s="124">
        <v>33</v>
      </c>
      <c r="E47" s="106">
        <v>3.3</v>
      </c>
      <c r="F47" s="115" t="s">
        <v>79</v>
      </c>
    </row>
    <row r="48" spans="1:7" ht="50" customHeight="1">
      <c r="A48" s="106" t="str">
        <f>_xlfn.DISPIMG("ID_61ACD149B7204B5FB8A71ACD8D834B03",1)</f>
        <v>=DISPIMG("ID_61ACD149B7204B5FB8A71ACD8D834B03",1)</v>
      </c>
      <c r="B48" s="106" t="s">
        <v>84</v>
      </c>
      <c r="C48" s="106" t="s">
        <v>85</v>
      </c>
      <c r="D48" s="124">
        <v>19.5</v>
      </c>
      <c r="E48" s="106">
        <v>1.9</v>
      </c>
      <c r="F48" s="115" t="s">
        <v>79</v>
      </c>
    </row>
    <row r="49" spans="1:6" ht="50" customHeight="1">
      <c r="A49" s="106" t="str">
        <f>_xlfn.DISPIMG("ID_36355CB4FA274918B7C8141F281A60B1",1)</f>
        <v>=DISPIMG("ID_36355CB4FA274918B7C8141F281A60B1",1)</v>
      </c>
      <c r="B49" s="106" t="s">
        <v>86</v>
      </c>
      <c r="C49" s="106" t="s">
        <v>85</v>
      </c>
      <c r="D49" s="124">
        <v>32</v>
      </c>
      <c r="E49" s="106">
        <v>3.3</v>
      </c>
      <c r="F49" s="115" t="s">
        <v>79</v>
      </c>
    </row>
    <row r="50" spans="1:6" ht="50" customHeight="1">
      <c r="A50" s="106" t="str">
        <f>_xlfn.DISPIMG("ID_AD6B0A14339640049615DE7F584E7D80",1)</f>
        <v>=DISPIMG("ID_AD6B0A14339640049615DE7F584E7D80",1)</v>
      </c>
      <c r="B50" s="106" t="s">
        <v>87</v>
      </c>
      <c r="C50" s="106" t="s">
        <v>88</v>
      </c>
      <c r="D50" s="124">
        <v>37</v>
      </c>
      <c r="E50" s="106">
        <v>3.3</v>
      </c>
      <c r="F50" s="115" t="s">
        <v>79</v>
      </c>
    </row>
    <row r="51" spans="1:6" ht="50" customHeight="1">
      <c r="A51" s="106" t="str">
        <f>_xlfn.DISPIMG("ID_7C37B4B204574001BD063D5922D8F4E6",1)</f>
        <v>=DISPIMG("ID_7C37B4B204574001BD063D5922D8F4E6",1)</v>
      </c>
      <c r="B51" s="106" t="s">
        <v>89</v>
      </c>
      <c r="C51" s="106" t="s">
        <v>88</v>
      </c>
      <c r="D51" s="124">
        <v>28</v>
      </c>
      <c r="E51" s="106">
        <v>2.5</v>
      </c>
      <c r="F51" s="115" t="s">
        <v>79</v>
      </c>
    </row>
    <row r="52" spans="1:6" s="102" customFormat="1" ht="50" customHeight="1">
      <c r="A52" s="135" t="str">
        <f>_xlfn.DISPIMG("ID_8C11FDD0EF054527B2127E2F3B1BC6E1",1)</f>
        <v>=DISPIMG("ID_8C11FDD0EF054527B2127E2F3B1BC6E1",1)</v>
      </c>
      <c r="B52" s="106" t="s">
        <v>90</v>
      </c>
      <c r="C52" s="106" t="s">
        <v>91</v>
      </c>
      <c r="D52" s="124">
        <v>17</v>
      </c>
      <c r="E52" s="106">
        <v>1.9</v>
      </c>
      <c r="F52" s="115" t="s">
        <v>8</v>
      </c>
    </row>
    <row r="53" spans="1:6" s="102" customFormat="1" ht="50" customHeight="1">
      <c r="A53" s="135"/>
      <c r="B53" s="106" t="s">
        <v>92</v>
      </c>
      <c r="C53" s="106" t="s">
        <v>91</v>
      </c>
      <c r="D53" s="124">
        <v>17</v>
      </c>
      <c r="E53" s="106">
        <v>1.9</v>
      </c>
      <c r="F53" s="115" t="s">
        <v>8</v>
      </c>
    </row>
    <row r="54" spans="1:6" s="102" customFormat="1" ht="50" customHeight="1">
      <c r="A54" s="106" t="str">
        <f>_xlfn.DISPIMG("ID_EE365DC242BF40F799541733A746C3F6",1)</f>
        <v>=DISPIMG("ID_EE365DC242BF40F799541733A746C3F6",1)</v>
      </c>
      <c r="B54" s="106" t="s">
        <v>93</v>
      </c>
      <c r="C54" s="106" t="s">
        <v>94</v>
      </c>
      <c r="D54" s="124">
        <v>24</v>
      </c>
      <c r="E54" s="106">
        <v>2.5</v>
      </c>
      <c r="F54" s="115" t="s">
        <v>30</v>
      </c>
    </row>
    <row r="55" spans="1:6" s="102" customFormat="1" ht="50" customHeight="1">
      <c r="A55" s="106" t="str">
        <f>_xlfn.DISPIMG("ID_F3F05DB9535D412396089F61939EA8B1",1)</f>
        <v>=DISPIMG("ID_F3F05DB9535D412396089F61939EA8B1",1)</v>
      </c>
      <c r="B55" s="106" t="s">
        <v>95</v>
      </c>
      <c r="C55" s="106" t="s">
        <v>96</v>
      </c>
      <c r="D55" s="124">
        <v>19</v>
      </c>
      <c r="E55" s="106">
        <v>2.2999999999999998</v>
      </c>
      <c r="F55" s="111" t="s">
        <v>8</v>
      </c>
    </row>
    <row r="56" spans="1:6" s="102" customFormat="1" ht="50" customHeight="1">
      <c r="A56" s="106" t="str">
        <f>_xlfn.DISPIMG("ID_D0B9E859C7FC4FDAB9D08EE45CFBBCBF",1)</f>
        <v>=DISPIMG("ID_D0B9E859C7FC4FDAB9D08EE45CFBBCBF",1)</v>
      </c>
      <c r="B56" s="106" t="s">
        <v>97</v>
      </c>
      <c r="C56" s="106" t="s">
        <v>98</v>
      </c>
      <c r="D56" s="124">
        <v>24</v>
      </c>
      <c r="E56" s="106">
        <v>2.9</v>
      </c>
      <c r="F56" s="111" t="s">
        <v>8</v>
      </c>
    </row>
    <row r="57" spans="1:6" s="102" customFormat="1" ht="50" customHeight="1">
      <c r="A57" s="135" t="str">
        <f>_xlfn.DISPIMG("ID_8F4F34FC43814A7DA79494872F26008C",1)</f>
        <v>=DISPIMG("ID_8F4F34FC43814A7DA79494872F26008C",1)</v>
      </c>
      <c r="B57" s="106" t="s">
        <v>99</v>
      </c>
      <c r="C57" s="106" t="s">
        <v>100</v>
      </c>
      <c r="D57" s="124">
        <v>24</v>
      </c>
      <c r="E57" s="106">
        <v>2.6</v>
      </c>
      <c r="F57" s="111" t="s">
        <v>79</v>
      </c>
    </row>
    <row r="58" spans="1:6" s="102" customFormat="1" ht="50" customHeight="1">
      <c r="A58" s="135"/>
      <c r="B58" s="125" t="s">
        <v>101</v>
      </c>
      <c r="C58" s="106" t="s">
        <v>100</v>
      </c>
      <c r="D58" s="124">
        <v>24</v>
      </c>
      <c r="E58" s="106">
        <v>2.6</v>
      </c>
      <c r="F58" s="111" t="s">
        <v>79</v>
      </c>
    </row>
    <row r="59" spans="1:6" s="102" customFormat="1" ht="50" customHeight="1">
      <c r="A59" s="135" t="str">
        <f>_xlfn.DISPIMG("ID_D563A2272B744DABBED5EC4BDC2FD337",1)</f>
        <v>=DISPIMG("ID_D563A2272B744DABBED5EC4BDC2FD337",1)</v>
      </c>
      <c r="B59" s="106" t="s">
        <v>102</v>
      </c>
      <c r="C59" s="106" t="s">
        <v>103</v>
      </c>
      <c r="D59" s="124">
        <v>34</v>
      </c>
      <c r="E59" s="106">
        <v>3.6</v>
      </c>
      <c r="F59" s="111" t="s">
        <v>8</v>
      </c>
    </row>
    <row r="60" spans="1:6" s="102" customFormat="1" ht="50" customHeight="1">
      <c r="A60" s="135"/>
      <c r="B60" s="106" t="s">
        <v>104</v>
      </c>
      <c r="C60" s="106" t="s">
        <v>105</v>
      </c>
      <c r="D60" s="124">
        <v>34</v>
      </c>
      <c r="E60" s="106">
        <v>2.7</v>
      </c>
      <c r="F60" s="111" t="s">
        <v>79</v>
      </c>
    </row>
    <row r="61" spans="1:6" ht="68" customHeight="1">
      <c r="A61" s="106" t="str">
        <f>_xlfn.DISPIMG("ID_16DA4FFED8F34562B2CFACE3EB696F76",1)</f>
        <v>=DISPIMG("ID_16DA4FFED8F34562B2CFACE3EB696F76",1)</v>
      </c>
      <c r="B61" s="106" t="s">
        <v>106</v>
      </c>
      <c r="C61" s="106" t="s">
        <v>107</v>
      </c>
      <c r="D61" s="124">
        <v>37.5</v>
      </c>
      <c r="E61" s="106">
        <v>4.1500000000000004</v>
      </c>
      <c r="F61" s="111" t="s">
        <v>8</v>
      </c>
    </row>
    <row r="62" spans="1:6">
      <c r="A62" s="126" t="str">
        <f>_xlfn.DISPIMG("ID_B90043B053E143EE933FD3AAA08BEF65",1)</f>
        <v>=DISPIMG("ID_B90043B053E143EE933FD3AAA08BEF65",1)</v>
      </c>
      <c r="B62" s="106" t="s">
        <v>108</v>
      </c>
      <c r="C62" s="106" t="s">
        <v>109</v>
      </c>
      <c r="D62" s="124">
        <v>42</v>
      </c>
      <c r="E62" s="106">
        <v>4.2</v>
      </c>
      <c r="F62" s="111" t="s">
        <v>79</v>
      </c>
    </row>
    <row r="63" spans="1:6" ht="52" customHeight="1">
      <c r="A63" s="106" t="str">
        <f>_xlfn.DISPIMG("ID_43A08CADDBFA45B6BCC5186907B3571C",1)</f>
        <v>=DISPIMG("ID_43A08CADDBFA45B6BCC5186907B3571C",1)</v>
      </c>
      <c r="B63" s="106" t="s">
        <v>110</v>
      </c>
      <c r="C63" s="106" t="s">
        <v>111</v>
      </c>
      <c r="D63" s="124">
        <v>42.5</v>
      </c>
      <c r="E63" s="106">
        <v>4.2</v>
      </c>
      <c r="F63" s="111" t="s">
        <v>8</v>
      </c>
    </row>
    <row r="64" spans="1:6">
      <c r="A64" s="106" t="str">
        <f>_xlfn.DISPIMG("ID_59D127890C214AA0AE181931CA10703E",1)</f>
        <v>=DISPIMG("ID_59D127890C214AA0AE181931CA10703E",1)</v>
      </c>
      <c r="B64" s="106" t="s">
        <v>112</v>
      </c>
      <c r="C64" s="106" t="s">
        <v>113</v>
      </c>
      <c r="D64" s="124">
        <v>25.5</v>
      </c>
      <c r="E64" s="117">
        <v>3.3</v>
      </c>
      <c r="F64" s="111" t="s">
        <v>8</v>
      </c>
    </row>
    <row r="65" spans="1:6" ht="54" customHeight="1">
      <c r="A65" s="106" t="str">
        <f>_xlfn.DISPIMG("ID_FFD96659A0D440DC98F489FB2A3247C3",1)</f>
        <v>=DISPIMG("ID_FFD96659A0D440DC98F489FB2A3247C3",1)</v>
      </c>
      <c r="B65" s="106" t="s">
        <v>114</v>
      </c>
      <c r="C65" s="106" t="s">
        <v>85</v>
      </c>
      <c r="D65" s="124">
        <v>29</v>
      </c>
      <c r="E65" s="117">
        <v>3.8</v>
      </c>
      <c r="F65" s="111" t="s">
        <v>8</v>
      </c>
    </row>
    <row r="66" spans="1:6">
      <c r="A66" s="106" t="str">
        <f>_xlfn.DISPIMG("ID_63443941236840488C50355049BC6B0E",1)</f>
        <v>=DISPIMG("ID_63443941236840488C50355049BC6B0E",1)</v>
      </c>
      <c r="B66" s="106" t="s">
        <v>115</v>
      </c>
      <c r="C66" s="106" t="s">
        <v>116</v>
      </c>
      <c r="D66" s="124">
        <v>44</v>
      </c>
      <c r="E66" s="117">
        <v>4.3</v>
      </c>
      <c r="F66" s="111" t="s">
        <v>8</v>
      </c>
    </row>
    <row r="67" spans="1:6" s="103" customFormat="1" ht="52" customHeight="1">
      <c r="A67" s="136" t="str">
        <f>_xlfn.DISPIMG("ID_EC9CF75EBBF84D899E6148A231F920CF",1)</f>
        <v>=DISPIMG("ID_EC9CF75EBBF84D899E6148A231F920CF",1)</v>
      </c>
      <c r="B67" s="127" t="s">
        <v>117</v>
      </c>
      <c r="C67" s="127" t="s">
        <v>109</v>
      </c>
      <c r="D67" s="128">
        <v>26.5</v>
      </c>
      <c r="E67" s="129">
        <v>3.1</v>
      </c>
      <c r="F67" s="130" t="s">
        <v>8</v>
      </c>
    </row>
    <row r="68" spans="1:6" s="103" customFormat="1" ht="21.5">
      <c r="A68" s="137"/>
      <c r="B68" s="127" t="s">
        <v>118</v>
      </c>
      <c r="C68" s="127" t="s">
        <v>119</v>
      </c>
      <c r="D68" s="128">
        <v>32.5</v>
      </c>
      <c r="E68" s="129">
        <v>3.8</v>
      </c>
      <c r="F68" s="130" t="s">
        <v>8</v>
      </c>
    </row>
    <row r="69" spans="1:6" s="103" customFormat="1" ht="54" customHeight="1">
      <c r="A69" s="137"/>
      <c r="B69" s="127" t="s">
        <v>120</v>
      </c>
      <c r="C69" s="127" t="s">
        <v>121</v>
      </c>
      <c r="D69" s="128">
        <v>29</v>
      </c>
      <c r="E69" s="129">
        <v>3.4</v>
      </c>
      <c r="F69" s="130" t="s">
        <v>8</v>
      </c>
    </row>
    <row r="70" spans="1:6" s="103" customFormat="1" ht="21.5">
      <c r="A70" s="138"/>
      <c r="B70" s="127" t="s">
        <v>122</v>
      </c>
      <c r="C70" s="127" t="s">
        <v>123</v>
      </c>
      <c r="D70" s="128">
        <v>34</v>
      </c>
      <c r="E70" s="129">
        <v>4</v>
      </c>
      <c r="F70" s="130" t="s">
        <v>8</v>
      </c>
    </row>
    <row r="75" spans="1:6">
      <c r="B75" s="101" t="s">
        <v>124</v>
      </c>
    </row>
  </sheetData>
  <mergeCells count="11">
    <mergeCell ref="A67:A70"/>
    <mergeCell ref="A33:A36"/>
    <mergeCell ref="A37:A44"/>
    <mergeCell ref="A52:A53"/>
    <mergeCell ref="A57:A58"/>
    <mergeCell ref="A59:A60"/>
    <mergeCell ref="A2:A10"/>
    <mergeCell ref="A11:A18"/>
    <mergeCell ref="A19:A23"/>
    <mergeCell ref="A24:A27"/>
    <mergeCell ref="A28:A32"/>
  </mergeCells>
  <pageMargins left="0.7" right="0.7" top="0.75" bottom="0.75" header="0.3" footer="0.3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XEX36"/>
  <sheetViews>
    <sheetView workbookViewId="0">
      <selection activeCell="G6" sqref="G6"/>
    </sheetView>
  </sheetViews>
  <sheetFormatPr defaultColWidth="9" defaultRowHeight="15"/>
  <cols>
    <col min="1" max="1" width="35.453125" style="1" customWidth="1"/>
    <col min="2" max="4" width="20.6328125" style="1" customWidth="1"/>
    <col min="5" max="16378" width="9" style="1"/>
  </cols>
  <sheetData>
    <row r="1" spans="1:4" s="1" customFormat="1" ht="31">
      <c r="A1" s="182" t="s">
        <v>528</v>
      </c>
      <c r="B1" s="183"/>
      <c r="C1" s="183"/>
      <c r="D1" s="183"/>
    </row>
    <row r="2" spans="1:4" s="1" customFormat="1" ht="50" customHeight="1">
      <c r="A2" s="3" t="s">
        <v>529</v>
      </c>
      <c r="B2" s="4" t="s">
        <v>530</v>
      </c>
      <c r="C2" s="4" t="s">
        <v>531</v>
      </c>
      <c r="D2" s="4" t="s">
        <v>532</v>
      </c>
    </row>
    <row r="3" spans="1:4" s="2" customFormat="1" ht="20" customHeight="1">
      <c r="A3" s="5" t="s">
        <v>533</v>
      </c>
      <c r="B3" s="6">
        <v>100</v>
      </c>
      <c r="C3" s="7">
        <v>90</v>
      </c>
      <c r="D3" s="8">
        <v>90</v>
      </c>
    </row>
    <row r="4" spans="1:4" s="1" customFormat="1" ht="20" customHeight="1">
      <c r="A4" s="9" t="s">
        <v>534</v>
      </c>
      <c r="B4" s="10">
        <v>120</v>
      </c>
      <c r="C4" s="11">
        <v>100</v>
      </c>
      <c r="D4" s="10">
        <v>120</v>
      </c>
    </row>
    <row r="5" spans="1:4" s="1" customFormat="1" ht="20" customHeight="1">
      <c r="A5" s="9" t="s">
        <v>535</v>
      </c>
      <c r="B5" s="10">
        <v>100</v>
      </c>
      <c r="C5" s="11">
        <v>90</v>
      </c>
      <c r="D5" s="11">
        <v>90</v>
      </c>
    </row>
    <row r="6" spans="1:4" s="1" customFormat="1" ht="20" customHeight="1">
      <c r="A6" s="9" t="s">
        <v>536</v>
      </c>
      <c r="B6" s="10">
        <v>105</v>
      </c>
      <c r="C6" s="11">
        <v>100</v>
      </c>
      <c r="D6" s="11">
        <v>100</v>
      </c>
    </row>
    <row r="7" spans="1:4" s="1" customFormat="1" ht="20" customHeight="1">
      <c r="A7" s="9" t="s">
        <v>537</v>
      </c>
      <c r="B7" s="10">
        <v>160</v>
      </c>
      <c r="C7" s="11">
        <v>150</v>
      </c>
      <c r="D7" s="11">
        <v>150</v>
      </c>
    </row>
    <row r="8" spans="1:4" s="1" customFormat="1" ht="20" customHeight="1">
      <c r="A8" s="9" t="s">
        <v>538</v>
      </c>
      <c r="B8" s="10">
        <v>160</v>
      </c>
      <c r="C8" s="11">
        <v>150</v>
      </c>
      <c r="D8" s="11">
        <v>150</v>
      </c>
    </row>
    <row r="9" spans="1:4" s="1" customFormat="1" ht="20" customHeight="1">
      <c r="A9" s="9" t="s">
        <v>539</v>
      </c>
      <c r="B9" s="10">
        <v>160</v>
      </c>
      <c r="C9" s="11">
        <v>150</v>
      </c>
      <c r="D9" s="11">
        <v>150</v>
      </c>
    </row>
    <row r="10" spans="1:4" s="1" customFormat="1" ht="20" customHeight="1">
      <c r="A10" s="9" t="s">
        <v>540</v>
      </c>
      <c r="B10" s="10">
        <v>160</v>
      </c>
      <c r="C10" s="11">
        <v>150</v>
      </c>
      <c r="D10" s="11">
        <v>150</v>
      </c>
    </row>
    <row r="11" spans="1:4" s="1" customFormat="1" ht="20" customHeight="1">
      <c r="A11" s="9" t="s">
        <v>541</v>
      </c>
      <c r="B11" s="11">
        <v>210</v>
      </c>
      <c r="C11" s="11">
        <v>210</v>
      </c>
      <c r="D11" s="10">
        <v>230</v>
      </c>
    </row>
    <row r="12" spans="1:4" s="1" customFormat="1" ht="20" customHeight="1">
      <c r="A12" s="9" t="s">
        <v>542</v>
      </c>
      <c r="B12" s="10">
        <v>170</v>
      </c>
      <c r="C12" s="11">
        <v>160</v>
      </c>
      <c r="D12" s="11">
        <v>160</v>
      </c>
    </row>
    <row r="13" spans="1:4" s="1" customFormat="1" ht="20" customHeight="1">
      <c r="A13" s="9" t="s">
        <v>543</v>
      </c>
      <c r="B13" s="10">
        <v>180</v>
      </c>
      <c r="C13" s="11">
        <v>150</v>
      </c>
      <c r="D13" s="10">
        <v>160</v>
      </c>
    </row>
    <row r="14" spans="1:4" s="1" customFormat="1" ht="20" customHeight="1">
      <c r="A14" s="9" t="s">
        <v>544</v>
      </c>
      <c r="B14" s="10">
        <v>165</v>
      </c>
      <c r="C14" s="11">
        <v>150</v>
      </c>
      <c r="D14" s="12">
        <v>150</v>
      </c>
    </row>
    <row r="15" spans="1:4" s="1" customFormat="1" ht="20" customHeight="1">
      <c r="A15" s="9" t="s">
        <v>545</v>
      </c>
      <c r="B15" s="10">
        <v>165</v>
      </c>
      <c r="C15" s="11">
        <v>150</v>
      </c>
      <c r="D15" s="11">
        <v>150</v>
      </c>
    </row>
    <row r="16" spans="1:4" s="1" customFormat="1" ht="20" customHeight="1">
      <c r="A16" s="9" t="s">
        <v>546</v>
      </c>
      <c r="B16" s="10">
        <v>165</v>
      </c>
      <c r="C16" s="11">
        <v>150</v>
      </c>
      <c r="D16" s="11">
        <v>150</v>
      </c>
    </row>
    <row r="17" spans="1:4" s="1" customFormat="1" ht="20" customHeight="1">
      <c r="A17" s="10" t="s">
        <v>547</v>
      </c>
      <c r="B17" s="11">
        <v>240</v>
      </c>
      <c r="C17" s="11">
        <v>240</v>
      </c>
      <c r="D17" s="10">
        <v>280</v>
      </c>
    </row>
    <row r="18" spans="1:4" s="1" customFormat="1" ht="20" customHeight="1">
      <c r="A18" s="10" t="s">
        <v>548</v>
      </c>
      <c r="B18" s="11">
        <v>240</v>
      </c>
      <c r="C18" s="11">
        <v>240</v>
      </c>
      <c r="D18" s="10">
        <v>280</v>
      </c>
    </row>
    <row r="19" spans="1:4" s="1" customFormat="1" ht="20" customHeight="1">
      <c r="A19" s="10" t="s">
        <v>549</v>
      </c>
      <c r="B19" s="10">
        <v>258</v>
      </c>
      <c r="C19" s="11">
        <v>255</v>
      </c>
      <c r="D19" s="10">
        <v>330</v>
      </c>
    </row>
    <row r="20" spans="1:4" s="1" customFormat="1" ht="20" customHeight="1">
      <c r="A20" s="10" t="s">
        <v>550</v>
      </c>
      <c r="B20" s="11">
        <v>210</v>
      </c>
      <c r="C20" s="11">
        <v>210</v>
      </c>
      <c r="D20" s="10">
        <v>280</v>
      </c>
    </row>
    <row r="21" spans="1:4" s="1" customFormat="1" ht="20" customHeight="1">
      <c r="A21" s="10" t="s">
        <v>551</v>
      </c>
      <c r="B21" s="11">
        <v>210</v>
      </c>
      <c r="C21" s="11">
        <v>210</v>
      </c>
      <c r="D21" s="10">
        <v>280</v>
      </c>
    </row>
    <row r="22" spans="1:4" s="1" customFormat="1" ht="20" customHeight="1">
      <c r="A22" s="10" t="s">
        <v>552</v>
      </c>
      <c r="B22" s="10">
        <v>218</v>
      </c>
      <c r="C22" s="11">
        <v>210</v>
      </c>
      <c r="D22" s="10">
        <v>280</v>
      </c>
    </row>
    <row r="23" spans="1:4" s="1" customFormat="1" ht="20" customHeight="1">
      <c r="A23" s="10" t="s">
        <v>553</v>
      </c>
      <c r="B23" s="11">
        <v>228</v>
      </c>
      <c r="C23" s="10">
        <v>230</v>
      </c>
      <c r="D23" s="10">
        <v>330</v>
      </c>
    </row>
    <row r="24" spans="1:4" s="1" customFormat="1" ht="20" customHeight="1">
      <c r="A24" s="10" t="s">
        <v>554</v>
      </c>
      <c r="B24" s="11">
        <v>258</v>
      </c>
      <c r="C24" s="10">
        <v>260</v>
      </c>
      <c r="D24" s="10">
        <v>330</v>
      </c>
    </row>
    <row r="25" spans="1:4" s="1" customFormat="1" ht="20" customHeight="1">
      <c r="A25" s="10" t="s">
        <v>555</v>
      </c>
      <c r="B25" s="11">
        <v>228</v>
      </c>
      <c r="C25" s="10">
        <v>230</v>
      </c>
      <c r="D25" s="10">
        <v>330</v>
      </c>
    </row>
    <row r="26" spans="1:4" s="1" customFormat="1" ht="20" customHeight="1">
      <c r="A26" s="10" t="s">
        <v>556</v>
      </c>
      <c r="B26" s="11">
        <v>228</v>
      </c>
      <c r="C26" s="10">
        <v>230</v>
      </c>
      <c r="D26" s="10">
        <v>330</v>
      </c>
    </row>
    <row r="27" spans="1:4" s="1" customFormat="1" ht="20" customHeight="1">
      <c r="A27" s="10" t="s">
        <v>557</v>
      </c>
      <c r="B27" s="10">
        <v>330</v>
      </c>
      <c r="C27" s="11">
        <v>300</v>
      </c>
      <c r="D27" s="10">
        <v>380</v>
      </c>
    </row>
    <row r="28" spans="1:4" s="1" customFormat="1" ht="20" customHeight="1">
      <c r="A28" s="10" t="s">
        <v>558</v>
      </c>
      <c r="B28" s="10">
        <v>330</v>
      </c>
      <c r="C28" s="11">
        <v>300</v>
      </c>
      <c r="D28" s="10">
        <v>380</v>
      </c>
    </row>
    <row r="29" spans="1:4" s="1" customFormat="1" ht="20" customHeight="1">
      <c r="A29" s="10" t="s">
        <v>559</v>
      </c>
      <c r="B29" s="10">
        <v>320</v>
      </c>
      <c r="C29" s="11">
        <v>300</v>
      </c>
      <c r="D29" s="10">
        <v>500</v>
      </c>
    </row>
    <row r="30" spans="1:4" s="1" customFormat="1" ht="20" customHeight="1">
      <c r="A30" s="10" t="s">
        <v>526</v>
      </c>
      <c r="B30" s="10">
        <v>330</v>
      </c>
      <c r="C30" s="11">
        <v>300</v>
      </c>
      <c r="D30" s="10">
        <v>480</v>
      </c>
    </row>
    <row r="31" spans="1:4" s="1" customFormat="1" ht="20" customHeight="1">
      <c r="A31" s="10" t="s">
        <v>560</v>
      </c>
      <c r="B31" s="10">
        <v>330</v>
      </c>
      <c r="C31" s="11">
        <v>300</v>
      </c>
      <c r="D31" s="10">
        <v>380</v>
      </c>
    </row>
    <row r="32" spans="1:4" s="1" customFormat="1" ht="20" customHeight="1">
      <c r="A32" s="10" t="s">
        <v>527</v>
      </c>
      <c r="B32" s="11">
        <v>550</v>
      </c>
      <c r="C32" s="11">
        <v>550</v>
      </c>
      <c r="D32" s="10">
        <v>680</v>
      </c>
    </row>
    <row r="33" spans="1:4" s="1" customFormat="1" ht="20" customHeight="1">
      <c r="A33" s="13" t="s">
        <v>523</v>
      </c>
      <c r="B33" s="14">
        <v>550</v>
      </c>
      <c r="C33" s="14">
        <v>550</v>
      </c>
      <c r="D33" s="13">
        <v>680</v>
      </c>
    </row>
    <row r="34" spans="1:4" s="1" customFormat="1" ht="21" customHeight="1">
      <c r="A34" s="15" t="s">
        <v>561</v>
      </c>
      <c r="B34" s="16"/>
      <c r="C34" s="17">
        <v>550</v>
      </c>
      <c r="D34" s="16"/>
    </row>
    <row r="35" spans="1:4" s="1" customFormat="1" ht="14" customHeight="1">
      <c r="C35" s="2"/>
    </row>
    <row r="36" spans="1:4" s="1" customFormat="1" ht="17" customHeight="1">
      <c r="C36" s="2"/>
    </row>
  </sheetData>
  <mergeCells count="1">
    <mergeCell ref="A1:D1"/>
  </mergeCells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22"/>
  <sheetViews>
    <sheetView workbookViewId="0">
      <selection activeCell="B3" sqref="B3"/>
    </sheetView>
  </sheetViews>
  <sheetFormatPr defaultColWidth="9" defaultRowHeight="15"/>
  <cols>
    <col min="1" max="1" width="10.6328125" style="1" customWidth="1"/>
    <col min="2" max="2" width="30.6328125" style="1" customWidth="1"/>
    <col min="3" max="3" width="22.6328125" style="1" customWidth="1"/>
    <col min="4" max="4" width="16.08984375" style="1" customWidth="1"/>
    <col min="5" max="6" width="15.6328125" style="1" customWidth="1"/>
    <col min="7" max="7" width="13.7265625" style="1" customWidth="1"/>
    <col min="8" max="9" width="13.453125" style="1" customWidth="1"/>
    <col min="10" max="10" width="24.7265625" style="1"/>
    <col min="11" max="16384" width="9" style="1"/>
  </cols>
  <sheetData>
    <row r="1" spans="1:9" ht="60" customHeight="1">
      <c r="A1" s="41" t="s">
        <v>0</v>
      </c>
      <c r="B1" s="41" t="s">
        <v>125</v>
      </c>
      <c r="C1" s="41" t="s">
        <v>126</v>
      </c>
      <c r="D1" s="96" t="s">
        <v>8</v>
      </c>
      <c r="E1" s="139" t="s">
        <v>127</v>
      </c>
      <c r="F1" s="139"/>
      <c r="G1" s="97" t="s">
        <v>79</v>
      </c>
      <c r="H1" s="140" t="s">
        <v>127</v>
      </c>
      <c r="I1" s="140"/>
    </row>
    <row r="2" spans="1:9" ht="70" customHeight="1">
      <c r="A2" s="141" t="s">
        <v>128</v>
      </c>
      <c r="B2" s="142"/>
      <c r="C2" s="142"/>
      <c r="D2" s="143"/>
      <c r="E2" s="143"/>
      <c r="F2" s="143"/>
      <c r="G2" s="143"/>
      <c r="H2" s="143"/>
      <c r="I2" s="143"/>
    </row>
    <row r="3" spans="1:9" ht="50" customHeight="1">
      <c r="A3" s="53" t="str">
        <f>_xlfn.DISPIMG("ID_CCA001658F0A46C3A5E2327AC2E08C2A",1)</f>
        <v>=DISPIMG("ID_CCA001658F0A46C3A5E2327AC2E08C2A",1)</v>
      </c>
      <c r="B3" s="36" t="s">
        <v>129</v>
      </c>
      <c r="C3" s="36" t="s">
        <v>130</v>
      </c>
      <c r="D3" s="36">
        <v>31.5</v>
      </c>
      <c r="E3" s="48">
        <v>3.8</v>
      </c>
      <c r="F3" s="48" t="s">
        <v>131</v>
      </c>
      <c r="G3" s="48">
        <v>31</v>
      </c>
      <c r="H3" s="48" t="s">
        <v>132</v>
      </c>
      <c r="I3" s="48" t="s">
        <v>131</v>
      </c>
    </row>
    <row r="4" spans="1:9" ht="50" customHeight="1">
      <c r="A4" s="55" t="str">
        <f>_xlfn.DISPIMG("ID_3589FEA53A314CD0B2A5F72F4D3C6CE8",1)</f>
        <v>=DISPIMG("ID_3589FEA53A314CD0B2A5F72F4D3C6CE8",1)</v>
      </c>
      <c r="B4" s="48" t="s">
        <v>133</v>
      </c>
      <c r="C4" s="48" t="s">
        <v>134</v>
      </c>
      <c r="D4" s="48">
        <v>37.5</v>
      </c>
      <c r="E4" s="48">
        <v>4.5</v>
      </c>
      <c r="F4" s="48" t="s">
        <v>131</v>
      </c>
      <c r="G4" s="48"/>
      <c r="H4" s="48"/>
      <c r="I4" s="48"/>
    </row>
    <row r="5" spans="1:9" ht="46" customHeight="1">
      <c r="A5" s="36" t="str">
        <f>_xlfn.DISPIMG("ID_A0CCD4AB04674371B67F436C543B3916",1)</f>
        <v>=DISPIMG("ID_A0CCD4AB04674371B67F436C543B3916",1)</v>
      </c>
      <c r="B5" s="36" t="s">
        <v>135</v>
      </c>
      <c r="C5" s="36" t="s">
        <v>136</v>
      </c>
      <c r="D5" s="36"/>
      <c r="E5" s="36"/>
      <c r="F5" s="36"/>
      <c r="G5" s="36">
        <v>52</v>
      </c>
      <c r="H5" s="36">
        <v>5.7</v>
      </c>
      <c r="I5" s="36" t="s">
        <v>131</v>
      </c>
    </row>
    <row r="6" spans="1:9" ht="55" customHeight="1">
      <c r="A6" s="1" t="str">
        <f>_xlfn.DISPIMG("ID_7783538B5B5048019A9D2D43FB5B03B9",1)</f>
        <v>=DISPIMG("ID_7783538B5B5048019A9D2D43FB5B03B9",1)</v>
      </c>
      <c r="B6" s="36" t="s">
        <v>137</v>
      </c>
      <c r="C6" s="36" t="s">
        <v>138</v>
      </c>
      <c r="D6" s="36"/>
      <c r="E6" s="36"/>
      <c r="F6" s="36"/>
      <c r="G6" s="36">
        <v>45</v>
      </c>
      <c r="H6" s="36">
        <v>4.5</v>
      </c>
      <c r="I6" s="36" t="s">
        <v>131</v>
      </c>
    </row>
    <row r="7" spans="1:9" ht="51" customHeight="1">
      <c r="A7" s="36" t="str">
        <f>_xlfn.DISPIMG("ID_ACD468457F004F758EBFEFA75EE3C75F",1)</f>
        <v>=DISPIMG("ID_ACD468457F004F758EBFEFA75EE3C75F",1)</v>
      </c>
      <c r="B7" s="36" t="s">
        <v>139</v>
      </c>
      <c r="C7" s="36" t="s">
        <v>140</v>
      </c>
      <c r="D7" s="36"/>
      <c r="E7" s="36"/>
      <c r="F7" s="36"/>
      <c r="G7" s="36">
        <v>64</v>
      </c>
      <c r="H7" s="36">
        <v>6.2</v>
      </c>
      <c r="I7" s="36" t="s">
        <v>131</v>
      </c>
    </row>
    <row r="8" spans="1:9" ht="42" customHeight="1">
      <c r="A8" s="36" t="str">
        <f>_xlfn.DISPIMG("ID_5D587B427448477099F35E454BF6409A",1)</f>
        <v>=DISPIMG("ID_5D587B427448477099F35E454BF6409A",1)</v>
      </c>
      <c r="B8" s="50" t="s">
        <v>141</v>
      </c>
      <c r="C8" s="36" t="s">
        <v>109</v>
      </c>
      <c r="D8" s="36"/>
      <c r="E8" s="36"/>
      <c r="F8" s="36"/>
      <c r="G8" s="36">
        <v>52</v>
      </c>
      <c r="H8" s="36">
        <v>5.5</v>
      </c>
      <c r="I8" s="36" t="s">
        <v>131</v>
      </c>
    </row>
    <row r="9" spans="1:9" ht="33" customHeight="1">
      <c r="A9" s="36" t="str">
        <f>_xlfn.DISPIMG("ID_4072BCC105384D1289CDF62036DFC5FF",1)</f>
        <v>=DISPIMG("ID_4072BCC105384D1289CDF62036DFC5FF",1)</v>
      </c>
      <c r="B9" s="50" t="s">
        <v>142</v>
      </c>
      <c r="C9" s="36" t="s">
        <v>119</v>
      </c>
      <c r="D9" s="36"/>
      <c r="E9" s="36"/>
      <c r="F9" s="36"/>
      <c r="G9" s="36">
        <v>58</v>
      </c>
      <c r="H9" s="36">
        <v>6</v>
      </c>
      <c r="I9" s="36" t="s">
        <v>131</v>
      </c>
    </row>
    <row r="10" spans="1:9" ht="41" customHeight="1">
      <c r="A10" s="36" t="str">
        <f>_xlfn.DISPIMG("ID_DDFA7580F42B458F9DC12FFD8F047245",1)</f>
        <v>=DISPIMG("ID_DDFA7580F42B458F9DC12FFD8F047245",1)</v>
      </c>
      <c r="B10" s="36" t="s">
        <v>143</v>
      </c>
      <c r="C10" s="36" t="s">
        <v>144</v>
      </c>
      <c r="D10" s="36"/>
      <c r="E10" s="36"/>
      <c r="F10" s="36"/>
      <c r="G10" s="36">
        <v>64</v>
      </c>
      <c r="H10" s="36">
        <v>6.2</v>
      </c>
      <c r="I10" s="36" t="s">
        <v>131</v>
      </c>
    </row>
    <row r="11" spans="1:9" ht="51" customHeight="1">
      <c r="A11" s="55" t="str">
        <f>_xlfn.DISPIMG("ID_851AC261917840DA9631CD2F24EC9A67",1)</f>
        <v>=DISPIMG("ID_851AC261917840DA9631CD2F24EC9A67",1)</v>
      </c>
      <c r="B11" s="36" t="s">
        <v>145</v>
      </c>
      <c r="C11" s="36" t="s">
        <v>146</v>
      </c>
      <c r="D11" s="36">
        <v>49.5</v>
      </c>
      <c r="E11" s="36">
        <v>6</v>
      </c>
      <c r="F11" s="36" t="s">
        <v>131</v>
      </c>
      <c r="G11" s="36">
        <v>50</v>
      </c>
      <c r="H11" s="36" t="s">
        <v>147</v>
      </c>
      <c r="I11" s="36" t="s">
        <v>131</v>
      </c>
    </row>
    <row r="12" spans="1:9" ht="38" customHeight="1">
      <c r="A12" s="55" t="str">
        <f>_xlfn.DISPIMG("ID_ECA399CFA1E9443F9DB1755B86E8F6ED",1)</f>
        <v>=DISPIMG("ID_ECA399CFA1E9443F9DB1755B86E8F6ED",1)</v>
      </c>
      <c r="B12" s="36" t="s">
        <v>148</v>
      </c>
      <c r="C12" s="36" t="s">
        <v>149</v>
      </c>
      <c r="D12" s="36">
        <v>74</v>
      </c>
      <c r="E12" s="36">
        <v>9</v>
      </c>
      <c r="F12" s="36" t="s">
        <v>131</v>
      </c>
      <c r="G12" s="36">
        <v>60</v>
      </c>
      <c r="H12" s="36">
        <v>7</v>
      </c>
      <c r="I12" s="36" t="s">
        <v>131</v>
      </c>
    </row>
    <row r="13" spans="1:9" ht="39" customHeight="1">
      <c r="A13" s="36" t="str">
        <f>_xlfn.DISPIMG("ID_FD9C4A8422BE4E28BC5780034AFD7B38",1)</f>
        <v>=DISPIMG("ID_FD9C4A8422BE4E28BC5780034AFD7B38",1)</v>
      </c>
      <c r="B13" s="36" t="s">
        <v>150</v>
      </c>
      <c r="C13" s="36" t="s">
        <v>151</v>
      </c>
      <c r="D13" s="36">
        <v>70</v>
      </c>
      <c r="E13" s="36">
        <v>8.5</v>
      </c>
      <c r="F13" s="36" t="s">
        <v>131</v>
      </c>
      <c r="G13" s="36">
        <v>70</v>
      </c>
      <c r="H13" s="36">
        <v>7.6</v>
      </c>
      <c r="I13" s="36" t="s">
        <v>131</v>
      </c>
    </row>
    <row r="14" spans="1:9" ht="45" customHeight="1">
      <c r="A14" s="55" t="str">
        <f>_xlfn.DISPIMG("ID_358087442C774E26A62E551FA8A2576A",1)</f>
        <v>=DISPIMG("ID_358087442C774E26A62E551FA8A2576A",1)</v>
      </c>
      <c r="B14" s="36" t="s">
        <v>152</v>
      </c>
      <c r="C14" s="36" t="s">
        <v>153</v>
      </c>
      <c r="D14" s="36">
        <v>57.5</v>
      </c>
      <c r="E14" s="36">
        <v>7</v>
      </c>
      <c r="F14" s="36" t="s">
        <v>131</v>
      </c>
      <c r="G14" s="36"/>
      <c r="H14" s="36"/>
      <c r="I14" s="36"/>
    </row>
    <row r="15" spans="1:9" ht="33.25" customHeight="1">
      <c r="A15" s="55" t="str">
        <f>_xlfn.DISPIMG("ID_34D3FF73A76A4B01A1E1F2AEA07BA3CD",1)</f>
        <v>=DISPIMG("ID_34D3FF73A76A4B01A1E1F2AEA07BA3CD",1)</v>
      </c>
      <c r="B15" s="36" t="s">
        <v>154</v>
      </c>
      <c r="C15" s="36" t="s">
        <v>155</v>
      </c>
      <c r="D15" s="36">
        <v>67.5</v>
      </c>
      <c r="E15" s="36">
        <v>8.1999999999999993</v>
      </c>
      <c r="F15" s="36" t="s">
        <v>131</v>
      </c>
      <c r="G15" s="36">
        <v>66</v>
      </c>
      <c r="H15" s="36">
        <v>8.5</v>
      </c>
      <c r="I15" s="36" t="s">
        <v>131</v>
      </c>
    </row>
    <row r="16" spans="1:9" ht="30" customHeight="1">
      <c r="A16" s="55" t="str">
        <f>_xlfn.DISPIMG("ID_1C5E28678AF94F0DAA74BEE6788CAEF0",1)</f>
        <v>=DISPIMG("ID_1C5E28678AF94F0DAA74BEE6788CAEF0",1)</v>
      </c>
      <c r="B16" s="36" t="s">
        <v>156</v>
      </c>
      <c r="C16" s="36" t="s">
        <v>157</v>
      </c>
      <c r="D16" s="36">
        <v>86</v>
      </c>
      <c r="E16" s="36">
        <v>10.5</v>
      </c>
      <c r="F16" s="36" t="s">
        <v>158</v>
      </c>
      <c r="G16" s="36">
        <v>90</v>
      </c>
      <c r="H16" s="36" t="s">
        <v>159</v>
      </c>
      <c r="I16" s="36" t="s">
        <v>158</v>
      </c>
    </row>
    <row r="17" spans="1:9" ht="44" customHeight="1">
      <c r="A17" s="55" t="str">
        <f>_xlfn.DISPIMG("ID_BF702FCAE64E4DFDB5555926B37157D1",1)</f>
        <v>=DISPIMG("ID_BF702FCAE64E4DFDB5555926B37157D1",1)</v>
      </c>
      <c r="B17" s="36" t="s">
        <v>160</v>
      </c>
      <c r="C17" s="36" t="s">
        <v>161</v>
      </c>
      <c r="D17" s="36">
        <v>85.5</v>
      </c>
      <c r="E17" s="36">
        <v>10.4</v>
      </c>
      <c r="F17" s="36" t="s">
        <v>158</v>
      </c>
      <c r="G17" s="36">
        <v>82</v>
      </c>
      <c r="H17" s="36" t="s">
        <v>162</v>
      </c>
      <c r="I17" s="36" t="s">
        <v>131</v>
      </c>
    </row>
    <row r="18" spans="1:9" ht="33" customHeight="1">
      <c r="A18" s="55" t="str">
        <f>_xlfn.DISPIMG("ID_6329CEDFD2604A4390BC56AFD30659F4",1)</f>
        <v>=DISPIMG("ID_6329CEDFD2604A4390BC56AFD30659F4",1)</v>
      </c>
      <c r="B18" s="36" t="s">
        <v>163</v>
      </c>
      <c r="C18" s="36" t="s">
        <v>164</v>
      </c>
      <c r="D18" s="36">
        <v>104</v>
      </c>
      <c r="E18" s="36">
        <v>12.7</v>
      </c>
      <c r="F18" s="36" t="s">
        <v>158</v>
      </c>
      <c r="G18" s="36">
        <v>108</v>
      </c>
      <c r="H18" s="36" t="s">
        <v>165</v>
      </c>
      <c r="I18" s="36" t="s">
        <v>166</v>
      </c>
    </row>
    <row r="19" spans="1:9" ht="33.25" customHeight="1">
      <c r="A19" s="55" t="str">
        <f>_xlfn.DISPIMG("ID_94F5E5A36BDB45A59E0D22EBDFA62DBB",1)</f>
        <v>=DISPIMG("ID_94F5E5A36BDB45A59E0D22EBDFA62DBB",1)</v>
      </c>
      <c r="B19" s="36" t="s">
        <v>167</v>
      </c>
      <c r="C19" s="55" t="s">
        <v>168</v>
      </c>
      <c r="D19" s="36">
        <v>113</v>
      </c>
      <c r="E19" s="36">
        <v>13.7</v>
      </c>
      <c r="F19" s="36" t="s">
        <v>166</v>
      </c>
      <c r="G19" s="36">
        <v>108</v>
      </c>
      <c r="H19" s="36">
        <v>12.5</v>
      </c>
      <c r="I19" s="36" t="s">
        <v>166</v>
      </c>
    </row>
    <row r="20" spans="1:9" ht="33.25" customHeight="1">
      <c r="A20" s="55" t="str">
        <f>_xlfn.DISPIMG("ID_B349200D42F54233A8C2AC63FD1DFC57",1)</f>
        <v>=DISPIMG("ID_B349200D42F54233A8C2AC63FD1DFC57",1)</v>
      </c>
      <c r="B20" s="36" t="s">
        <v>169</v>
      </c>
      <c r="C20" s="55" t="s">
        <v>170</v>
      </c>
      <c r="D20" s="36">
        <v>119</v>
      </c>
      <c r="E20" s="36">
        <v>14.5</v>
      </c>
      <c r="F20" s="36" t="s">
        <v>166</v>
      </c>
      <c r="G20" s="36">
        <v>148</v>
      </c>
      <c r="H20" s="36">
        <v>17.8</v>
      </c>
      <c r="I20" s="36" t="s">
        <v>166</v>
      </c>
    </row>
    <row r="21" spans="1:9" ht="33.25" customHeight="1">
      <c r="A21" s="55" t="str">
        <f>_xlfn.DISPIMG("ID_F6DDA17EF31C4DC68AC75F445A97AEE6",1)</f>
        <v>=DISPIMG("ID_F6DDA17EF31C4DC68AC75F445A97AEE6",1)</v>
      </c>
      <c r="B21" s="36" t="s">
        <v>171</v>
      </c>
      <c r="C21" s="55" t="s">
        <v>172</v>
      </c>
      <c r="D21" s="36">
        <v>150</v>
      </c>
      <c r="E21" s="36">
        <v>18.3</v>
      </c>
      <c r="F21" s="36" t="s">
        <v>166</v>
      </c>
      <c r="G21" s="36">
        <v>190</v>
      </c>
      <c r="H21" s="36">
        <v>23</v>
      </c>
      <c r="I21" s="36" t="s">
        <v>166</v>
      </c>
    </row>
    <row r="22" spans="1:9" ht="37" customHeight="1">
      <c r="A22" s="36" t="str">
        <f>_xlfn.DISPIMG("ID_52FC218D3C0C475486A8B3F9E0CD3D73",1)</f>
        <v>=DISPIMG("ID_52FC218D3C0C475486A8B3F9E0CD3D73",1)</v>
      </c>
      <c r="B22" s="36" t="s">
        <v>173</v>
      </c>
      <c r="C22" s="36" t="s">
        <v>174</v>
      </c>
      <c r="D22" s="36">
        <v>168</v>
      </c>
      <c r="E22" s="36">
        <v>20.5</v>
      </c>
      <c r="F22" s="36" t="s">
        <v>166</v>
      </c>
      <c r="G22" s="36"/>
      <c r="H22" s="36"/>
      <c r="I22" s="36"/>
    </row>
  </sheetData>
  <mergeCells count="3">
    <mergeCell ref="E1:F1"/>
    <mergeCell ref="H1:I1"/>
    <mergeCell ref="A2:I2"/>
  </mergeCells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XEZ25"/>
  <sheetViews>
    <sheetView workbookViewId="0">
      <selection activeCell="D1" sqref="D1"/>
    </sheetView>
  </sheetViews>
  <sheetFormatPr defaultColWidth="9" defaultRowHeight="15"/>
  <cols>
    <col min="1" max="1" width="10.6328125" style="1" customWidth="1"/>
    <col min="2" max="2" width="35.6328125" style="1" customWidth="1"/>
    <col min="3" max="3" width="22.6328125" style="1" customWidth="1"/>
    <col min="4" max="4" width="16.26953125" style="1" customWidth="1"/>
    <col min="5" max="5" width="13.26953125" style="1" customWidth="1"/>
    <col min="6" max="6" width="16.08984375" style="1" customWidth="1"/>
    <col min="7" max="7" width="15.7265625" style="1" customWidth="1"/>
    <col min="8" max="16380" width="9" style="1"/>
  </cols>
  <sheetData>
    <row r="1" spans="1:7" s="1" customFormat="1" ht="60" customHeight="1">
      <c r="A1" s="41" t="s">
        <v>0</v>
      </c>
      <c r="B1" s="41" t="s">
        <v>125</v>
      </c>
      <c r="C1" s="41" t="s">
        <v>2</v>
      </c>
      <c r="D1" s="96" t="s">
        <v>8</v>
      </c>
      <c r="E1" s="96" t="s">
        <v>175</v>
      </c>
      <c r="F1" s="97" t="s">
        <v>30</v>
      </c>
      <c r="G1" s="97" t="s">
        <v>175</v>
      </c>
    </row>
    <row r="2" spans="1:7" s="1" customFormat="1" ht="60" hidden="1" customHeight="1">
      <c r="A2" s="144" t="s">
        <v>176</v>
      </c>
      <c r="B2" s="144"/>
      <c r="C2" s="144"/>
      <c r="D2" s="144"/>
      <c r="E2" s="144"/>
      <c r="F2" s="144"/>
      <c r="G2" s="144"/>
    </row>
    <row r="3" spans="1:7" s="1" customFormat="1" ht="40" customHeight="1">
      <c r="A3" s="36"/>
      <c r="B3" s="36" t="s">
        <v>177</v>
      </c>
      <c r="C3" s="36" t="s">
        <v>130</v>
      </c>
      <c r="D3" s="36">
        <v>20.5</v>
      </c>
      <c r="E3" s="36">
        <v>2.2999999999999998</v>
      </c>
      <c r="F3" s="36"/>
      <c r="G3" s="36"/>
    </row>
    <row r="4" spans="1:7" s="1" customFormat="1" ht="46" customHeight="1">
      <c r="A4" s="55" t="str">
        <f>_xlfn.DISPIMG("ID_F6E77249CDEB4EC892945112DC42CAE8",1)</f>
        <v>=DISPIMG("ID_F6E77249CDEB4EC892945112DC42CAE8",1)</v>
      </c>
      <c r="B4" s="36" t="s">
        <v>178</v>
      </c>
      <c r="C4" s="55" t="s">
        <v>136</v>
      </c>
      <c r="D4" s="36">
        <v>29.5</v>
      </c>
      <c r="E4" s="36">
        <v>3.6</v>
      </c>
      <c r="F4" s="36">
        <v>28</v>
      </c>
      <c r="G4" s="36">
        <v>3.1</v>
      </c>
    </row>
    <row r="5" spans="1:7" s="1" customFormat="1" ht="40" customHeight="1">
      <c r="A5" s="55" t="str">
        <f>_xlfn.DISPIMG("ID_2901C1ADF434487E89809D04EAB8F7AF",1)</f>
        <v>=DISPIMG("ID_2901C1ADF434487E89809D04EAB8F7AF",1)</v>
      </c>
      <c r="B5" s="36" t="s">
        <v>179</v>
      </c>
      <c r="C5" s="55" t="s">
        <v>140</v>
      </c>
      <c r="D5" s="36">
        <v>36</v>
      </c>
      <c r="E5" s="36">
        <v>4.4000000000000004</v>
      </c>
      <c r="F5" s="36"/>
      <c r="G5" s="36"/>
    </row>
    <row r="6" spans="1:7" s="1" customFormat="1" ht="26" customHeight="1">
      <c r="A6" s="145" t="str">
        <f>_xlfn.DISPIMG("ID_471DBE86B7E64235BAA2792B9D7B2AA6",1)</f>
        <v>=DISPIMG("ID_471DBE86B7E64235BAA2792B9D7B2AA6",1)</v>
      </c>
      <c r="B6" s="36" t="s">
        <v>180</v>
      </c>
      <c r="C6" s="145" t="s">
        <v>146</v>
      </c>
      <c r="D6" s="98">
        <v>39.5</v>
      </c>
      <c r="E6" s="98">
        <v>5</v>
      </c>
      <c r="F6" s="36"/>
      <c r="G6" s="36"/>
    </row>
    <row r="7" spans="1:7" s="1" customFormat="1" ht="31" customHeight="1">
      <c r="A7" s="146"/>
      <c r="B7" s="36" t="s">
        <v>181</v>
      </c>
      <c r="C7" s="146"/>
      <c r="D7" s="98">
        <v>30</v>
      </c>
      <c r="E7" s="98">
        <v>3.55</v>
      </c>
      <c r="F7" s="36"/>
      <c r="G7" s="36"/>
    </row>
    <row r="8" spans="1:7" s="1" customFormat="1" ht="40" customHeight="1">
      <c r="A8" s="55" t="str">
        <f>_xlfn.DISPIMG("ID_0927757EA3F9464A8D132A68A7DDBA71",1)</f>
        <v>=DISPIMG("ID_0927757EA3F9464A8D132A68A7DDBA71",1)</v>
      </c>
      <c r="B8" s="36" t="s">
        <v>182</v>
      </c>
      <c r="C8" s="55" t="s">
        <v>183</v>
      </c>
      <c r="D8" s="36">
        <v>36</v>
      </c>
      <c r="E8" s="36">
        <v>4.4000000000000004</v>
      </c>
      <c r="F8" s="36"/>
      <c r="G8" s="36"/>
    </row>
    <row r="9" spans="1:7" s="1" customFormat="1" ht="40" customHeight="1">
      <c r="A9" s="55" t="str">
        <f>_xlfn.DISPIMG("ID_4237BBE31684445C9A8B1F91AEB1FF84",1)</f>
        <v>=DISPIMG("ID_4237BBE31684445C9A8B1F91AEB1FF84",1)</v>
      </c>
      <c r="B9" s="36" t="s">
        <v>184</v>
      </c>
      <c r="C9" s="55" t="s">
        <v>153</v>
      </c>
      <c r="D9" s="36">
        <v>49.5</v>
      </c>
      <c r="E9" s="36">
        <v>6</v>
      </c>
      <c r="F9" s="36">
        <v>46</v>
      </c>
      <c r="G9" s="36">
        <v>5.6</v>
      </c>
    </row>
    <row r="10" spans="1:7" s="1" customFormat="1" ht="40" customHeight="1">
      <c r="A10" s="55" t="str">
        <f>_xlfn.DISPIMG("ID_22B9FF594612422899B259DF2EA7E46B",1)</f>
        <v>=DISPIMG("ID_22B9FF594612422899B259DF2EA7E46B",1)</v>
      </c>
      <c r="B10" s="36" t="s">
        <v>185</v>
      </c>
      <c r="C10" s="55" t="s">
        <v>155</v>
      </c>
      <c r="D10" s="36">
        <v>51</v>
      </c>
      <c r="E10" s="36">
        <v>6.2</v>
      </c>
      <c r="F10" s="36">
        <v>46</v>
      </c>
      <c r="G10" s="36">
        <v>5.5</v>
      </c>
    </row>
    <row r="11" spans="1:7" s="1" customFormat="1" ht="30" customHeight="1">
      <c r="A11" s="55" t="str">
        <f>_xlfn.DISPIMG("ID_961E8EA4B62D48329D0380A3647C1D42",1)</f>
        <v>=DISPIMG("ID_961E8EA4B62D48329D0380A3647C1D42",1)</v>
      </c>
      <c r="B11" s="36" t="s">
        <v>186</v>
      </c>
      <c r="C11" s="55" t="s">
        <v>151</v>
      </c>
      <c r="D11" s="36">
        <v>50</v>
      </c>
      <c r="E11" s="36">
        <v>6.1</v>
      </c>
      <c r="F11" s="36">
        <v>46</v>
      </c>
      <c r="G11" s="36">
        <v>5.5</v>
      </c>
    </row>
    <row r="12" spans="1:7" s="1" customFormat="1" ht="36" customHeight="1">
      <c r="A12" s="99" t="str">
        <f>_xlfn.DISPIMG("ID_42945D71C1ED46EB81F5EDD13DA2DAEA",1)</f>
        <v>=DISPIMG("ID_42945D71C1ED46EB81F5EDD13DA2DAEA",1)</v>
      </c>
      <c r="B12" s="36" t="s">
        <v>187</v>
      </c>
      <c r="C12" s="99" t="s">
        <v>149</v>
      </c>
      <c r="D12" s="36">
        <v>36</v>
      </c>
      <c r="E12" s="36"/>
      <c r="F12" s="36">
        <v>48</v>
      </c>
      <c r="G12" s="36">
        <v>5.5</v>
      </c>
    </row>
    <row r="13" spans="1:7" s="1" customFormat="1" ht="26" customHeight="1">
      <c r="A13" s="36" t="str">
        <f>_xlfn.DISPIMG("ID_3E3F5B9245D14090A1359E1430A55116",1)</f>
        <v>=DISPIMG("ID_3E3F5B9245D14090A1359E1430A55116",1)</v>
      </c>
      <c r="B13" s="36" t="s">
        <v>188</v>
      </c>
      <c r="C13" s="36" t="s">
        <v>189</v>
      </c>
      <c r="D13" s="36"/>
      <c r="E13" s="36"/>
      <c r="F13" s="36">
        <v>52</v>
      </c>
      <c r="G13" s="36">
        <v>6.6</v>
      </c>
    </row>
    <row r="14" spans="1:7" s="1" customFormat="1" ht="42" customHeight="1">
      <c r="A14" s="55" t="str">
        <f>_xlfn.DISPIMG("ID_F11E45AEA9B34D26B45728A742A0095E",1)</f>
        <v>=DISPIMG("ID_F11E45AEA9B34D26B45728A742A0095E",1)</v>
      </c>
      <c r="B14" s="36" t="s">
        <v>190</v>
      </c>
      <c r="C14" s="55" t="s">
        <v>157</v>
      </c>
      <c r="D14" s="36">
        <v>49.5</v>
      </c>
      <c r="E14" s="36">
        <v>7.7</v>
      </c>
      <c r="F14" s="36">
        <v>52</v>
      </c>
      <c r="G14" s="36">
        <v>7</v>
      </c>
    </row>
    <row r="15" spans="1:7" s="1" customFormat="1" ht="20" customHeight="1">
      <c r="A15" s="145" t="str">
        <f>_xlfn.DISPIMG("ID_916F24E58B34474496581B5E622206DD",1)</f>
        <v>=DISPIMG("ID_916F24E58B34474496581B5E622206DD",1)</v>
      </c>
      <c r="B15" s="36" t="s">
        <v>191</v>
      </c>
      <c r="C15" s="145" t="s">
        <v>161</v>
      </c>
      <c r="D15" s="98">
        <v>66</v>
      </c>
      <c r="E15" s="98">
        <v>8</v>
      </c>
      <c r="F15" s="36">
        <v>60</v>
      </c>
      <c r="G15" s="36">
        <v>7.8</v>
      </c>
    </row>
    <row r="16" spans="1:7" s="1" customFormat="1" ht="20" customHeight="1">
      <c r="A16" s="146"/>
      <c r="B16" s="36" t="s">
        <v>192</v>
      </c>
      <c r="C16" s="146"/>
      <c r="D16" s="98">
        <v>57.5</v>
      </c>
      <c r="E16" s="98">
        <v>7</v>
      </c>
      <c r="F16" s="36">
        <v>50</v>
      </c>
      <c r="G16" s="36">
        <v>6.4</v>
      </c>
    </row>
    <row r="17" spans="1:7" s="1" customFormat="1" ht="20" customHeight="1">
      <c r="A17" s="146"/>
      <c r="B17" s="36" t="s">
        <v>193</v>
      </c>
      <c r="C17" s="146"/>
      <c r="D17" s="98">
        <v>49</v>
      </c>
      <c r="E17" s="98">
        <v>6</v>
      </c>
      <c r="F17" s="36">
        <v>48</v>
      </c>
      <c r="G17" s="36">
        <v>6</v>
      </c>
    </row>
    <row r="18" spans="1:7" s="1" customFormat="1" ht="20" customHeight="1">
      <c r="A18" s="146"/>
      <c r="B18" s="36" t="s">
        <v>194</v>
      </c>
      <c r="C18" s="147"/>
      <c r="D18" s="98">
        <v>42.5</v>
      </c>
      <c r="E18" s="98">
        <v>5.2</v>
      </c>
      <c r="F18" s="36"/>
      <c r="G18" s="36"/>
    </row>
    <row r="19" spans="1:7" s="1" customFormat="1" ht="20" customHeight="1">
      <c r="A19" s="55" t="str">
        <f>_xlfn.DISPIMG("ID_E90A2C91D1594A07BD7B9388A5B7BB64",1)</f>
        <v>=DISPIMG("ID_E90A2C91D1594A07BD7B9388A5B7BB64",1)</v>
      </c>
      <c r="B19" s="36" t="s">
        <v>195</v>
      </c>
      <c r="C19" s="55" t="s">
        <v>196</v>
      </c>
      <c r="D19" s="36">
        <v>62.5</v>
      </c>
      <c r="E19" s="36">
        <v>7.6</v>
      </c>
      <c r="F19" s="36">
        <v>64</v>
      </c>
      <c r="G19" s="36">
        <v>7.8</v>
      </c>
    </row>
    <row r="20" spans="1:7" s="1" customFormat="1" ht="20" customHeight="1">
      <c r="A20" s="55" t="str">
        <f>_xlfn.DISPIMG("ID_8AD2DBEC0C27426EBEA24D00C321AF2B",1)</f>
        <v>=DISPIMG("ID_8AD2DBEC0C27426EBEA24D00C321AF2B",1)</v>
      </c>
      <c r="B20" s="36" t="s">
        <v>197</v>
      </c>
      <c r="C20" s="55" t="s">
        <v>164</v>
      </c>
      <c r="D20" s="36">
        <v>67.5</v>
      </c>
      <c r="E20" s="36">
        <v>8.1999999999999993</v>
      </c>
      <c r="F20" s="36"/>
      <c r="G20" s="36"/>
    </row>
    <row r="21" spans="1:7" s="1" customFormat="1" ht="20" customHeight="1">
      <c r="A21" s="55" t="str">
        <f>_xlfn.DISPIMG("ID_873FAB5618A44475B7C8FFB24B99DF31",1)</f>
        <v>=DISPIMG("ID_873FAB5618A44475B7C8FFB24B99DF31",1)</v>
      </c>
      <c r="B21" s="36" t="s">
        <v>198</v>
      </c>
      <c r="C21" s="55" t="s">
        <v>168</v>
      </c>
      <c r="D21" s="36">
        <v>67.5</v>
      </c>
      <c r="E21" s="36">
        <v>8.1999999999999993</v>
      </c>
      <c r="F21" s="36">
        <v>64</v>
      </c>
      <c r="G21" s="36">
        <v>7.5</v>
      </c>
    </row>
    <row r="22" spans="1:7" s="1" customFormat="1" ht="20" customHeight="1">
      <c r="A22" s="36" t="str">
        <f>_xlfn.DISPIMG("ID_5C7E3787A0E04390A2E2E037B2087D45",1)</f>
        <v>=DISPIMG("ID_5C7E3787A0E04390A2E2E037B2087D45",1)</v>
      </c>
      <c r="B22" s="36" t="s">
        <v>199</v>
      </c>
      <c r="C22" s="36" t="s">
        <v>200</v>
      </c>
      <c r="D22" s="36">
        <v>74</v>
      </c>
      <c r="E22" s="36">
        <v>9</v>
      </c>
      <c r="F22" s="36">
        <v>72</v>
      </c>
      <c r="G22" s="36">
        <v>8.3000000000000007</v>
      </c>
    </row>
    <row r="23" spans="1:7" s="1" customFormat="1" ht="18" customHeight="1">
      <c r="A23" s="36" t="str">
        <f>_xlfn.DISPIMG("ID_3A51ADF2DEE143CD83B586318B2B51C0",1)</f>
        <v>=DISPIMG("ID_3A51ADF2DEE143CD83B586318B2B51C0",1)</v>
      </c>
      <c r="B23" s="36" t="s">
        <v>201</v>
      </c>
      <c r="C23" s="36" t="s">
        <v>202</v>
      </c>
      <c r="D23" s="36">
        <v>90</v>
      </c>
      <c r="E23" s="36">
        <v>10</v>
      </c>
      <c r="F23" s="36"/>
      <c r="G23" s="36"/>
    </row>
    <row r="24" spans="1:7" s="1" customFormat="1" ht="24" customHeight="1">
      <c r="A24" s="36" t="str">
        <f>_xlfn.DISPIMG("ID_EF54AE0A50CD4B7D92E3434867677A7C",1)</f>
        <v>=DISPIMG("ID_EF54AE0A50CD4B7D92E3434867677A7C",1)</v>
      </c>
      <c r="B24" s="36" t="s">
        <v>203</v>
      </c>
      <c r="C24" s="36" t="s">
        <v>170</v>
      </c>
      <c r="D24" s="36">
        <v>90</v>
      </c>
      <c r="E24" s="36">
        <v>10</v>
      </c>
      <c r="F24" s="36"/>
      <c r="G24" s="36"/>
    </row>
    <row r="25" spans="1:7" s="1" customFormat="1" ht="17" customHeight="1">
      <c r="A25" s="36" t="str">
        <f>_xlfn.DISPIMG("ID_7770841EFD3F4081ADB7378A797C052D",1)</f>
        <v>=DISPIMG("ID_7770841EFD3F4081ADB7378A797C052D",1)</v>
      </c>
      <c r="B25" s="36" t="s">
        <v>204</v>
      </c>
      <c r="C25" s="36" t="s">
        <v>205</v>
      </c>
      <c r="D25" s="36">
        <v>90</v>
      </c>
      <c r="E25" s="36">
        <v>10</v>
      </c>
      <c r="F25" s="36"/>
      <c r="G25" s="36"/>
    </row>
  </sheetData>
  <mergeCells count="5">
    <mergeCell ref="A2:G2"/>
    <mergeCell ref="A6:A7"/>
    <mergeCell ref="A15:A18"/>
    <mergeCell ref="C6:C7"/>
    <mergeCell ref="C15:C18"/>
  </mergeCells>
  <pageMargins left="0.75" right="0.75" top="1" bottom="1" header="0.5" footer="0.5"/>
  <pageSetup paperSize="9"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K51"/>
  <sheetViews>
    <sheetView workbookViewId="0">
      <selection activeCell="B1" sqref="B1"/>
    </sheetView>
  </sheetViews>
  <sheetFormatPr defaultColWidth="9" defaultRowHeight="15"/>
  <cols>
    <col min="1" max="1" width="10.6328125" style="1" customWidth="1"/>
    <col min="2" max="2" width="30.6328125" style="61" customWidth="1"/>
    <col min="3" max="3" width="22.6328125" style="1" customWidth="1"/>
    <col min="4" max="4" width="17" style="61" customWidth="1"/>
    <col min="5" max="6" width="14.08984375" style="61" customWidth="1"/>
    <col min="7" max="7" width="14.08984375" style="61" hidden="1" customWidth="1"/>
    <col min="8" max="8" width="16.6328125" style="61" customWidth="1"/>
    <col min="9" max="10" width="13.08984375" style="61" customWidth="1"/>
    <col min="11" max="11" width="13.08984375" style="61" hidden="1" customWidth="1"/>
    <col min="12" max="16384" width="9" style="1"/>
  </cols>
  <sheetData>
    <row r="1" spans="1:11" ht="60" customHeight="1">
      <c r="A1" s="73" t="s">
        <v>0</v>
      </c>
      <c r="B1" s="73" t="s">
        <v>125</v>
      </c>
      <c r="C1" s="73" t="s">
        <v>2</v>
      </c>
      <c r="D1" s="74" t="s">
        <v>206</v>
      </c>
      <c r="E1" s="148" t="s">
        <v>127</v>
      </c>
      <c r="F1" s="149"/>
      <c r="G1" s="75"/>
      <c r="H1" s="76" t="s">
        <v>207</v>
      </c>
      <c r="I1" s="150" t="s">
        <v>127</v>
      </c>
      <c r="J1" s="151"/>
      <c r="K1" s="93"/>
    </row>
    <row r="2" spans="1:11" ht="50" customHeight="1">
      <c r="A2" s="152" t="s">
        <v>208</v>
      </c>
      <c r="B2" s="153"/>
      <c r="C2" s="153"/>
      <c r="D2" s="153"/>
      <c r="E2" s="153"/>
      <c r="F2" s="153"/>
      <c r="G2" s="153"/>
      <c r="H2" s="153"/>
      <c r="I2" s="153"/>
      <c r="J2" s="153"/>
      <c r="K2" s="153"/>
    </row>
    <row r="3" spans="1:11" ht="50" customHeight="1">
      <c r="A3" s="77" t="str">
        <f>_xlfn.DISPIMG("ID_E140FE64FAC3438B999D55B318EEBCBD",1)</f>
        <v>=DISPIMG("ID_E140FE64FAC3438B999D55B318EEBCBD",1)</v>
      </c>
      <c r="B3" s="36" t="s">
        <v>209</v>
      </c>
      <c r="C3" s="36" t="s">
        <v>210</v>
      </c>
      <c r="D3" s="36">
        <v>59.5</v>
      </c>
      <c r="E3" s="36">
        <v>7</v>
      </c>
      <c r="F3" s="36" t="s">
        <v>211</v>
      </c>
      <c r="G3" s="36"/>
      <c r="H3" s="36"/>
      <c r="I3" s="36"/>
      <c r="J3" s="36"/>
      <c r="K3" s="36"/>
    </row>
    <row r="4" spans="1:11" ht="50" customHeight="1">
      <c r="A4" s="77" t="str">
        <f>_xlfn.DISPIMG("ID_34DDBBDB9F044E2C8323A0E72FDFF5C6",1)</f>
        <v>=DISPIMG("ID_34DDBBDB9F044E2C8323A0E72FDFF5C6",1)</v>
      </c>
      <c r="B4" s="36" t="s">
        <v>212</v>
      </c>
      <c r="C4" s="36" t="s">
        <v>213</v>
      </c>
      <c r="D4" s="36"/>
      <c r="E4" s="36"/>
      <c r="F4" s="36"/>
      <c r="G4" s="36"/>
      <c r="H4" s="36">
        <v>66</v>
      </c>
      <c r="I4" s="36">
        <v>6.9</v>
      </c>
      <c r="J4" s="38" t="s">
        <v>214</v>
      </c>
      <c r="K4" s="38"/>
    </row>
    <row r="5" spans="1:11" ht="50" customHeight="1">
      <c r="A5" s="36" t="str">
        <f>_xlfn.DISPIMG("ID_41508DDA4E304410A2F8C028232A0E87",1)</f>
        <v>=DISPIMG("ID_41508DDA4E304410A2F8C028232A0E87",1)</v>
      </c>
      <c r="B5" s="36" t="s">
        <v>215</v>
      </c>
      <c r="C5" s="36" t="s">
        <v>216</v>
      </c>
      <c r="D5" s="36">
        <v>65.5</v>
      </c>
      <c r="E5" s="36">
        <v>8</v>
      </c>
      <c r="F5" s="36" t="s">
        <v>211</v>
      </c>
      <c r="G5" s="36"/>
      <c r="H5" s="36"/>
      <c r="I5" s="36"/>
      <c r="J5" s="38"/>
      <c r="K5" s="38"/>
    </row>
    <row r="6" spans="1:11" ht="50" customHeight="1">
      <c r="A6" s="55" t="str">
        <f>_xlfn.DISPIMG("ID_F7E25197B91243B880956DD060FFCA32",1)</f>
        <v>=DISPIMG("ID_F7E25197B91243B880956DD060FFCA32",1)</v>
      </c>
      <c r="B6" s="36" t="s">
        <v>217</v>
      </c>
      <c r="C6" s="55" t="s">
        <v>218</v>
      </c>
      <c r="D6" s="36"/>
      <c r="E6" s="36"/>
      <c r="F6" s="36"/>
      <c r="G6" s="36"/>
      <c r="H6" s="36">
        <v>76</v>
      </c>
      <c r="I6" s="36">
        <v>7.9</v>
      </c>
      <c r="J6" s="38" t="s">
        <v>214</v>
      </c>
      <c r="K6" s="38"/>
    </row>
    <row r="7" spans="1:11" ht="50" customHeight="1">
      <c r="A7" s="55" t="str">
        <f>_xlfn.DISPIMG("ID_8D8F812F104A4225A5FA6636F476CFDB",1)</f>
        <v>=DISPIMG("ID_8D8F812F104A4225A5FA6636F476CFDB",1)</v>
      </c>
      <c r="B7" s="36" t="s">
        <v>219</v>
      </c>
      <c r="C7" s="55" t="s">
        <v>220</v>
      </c>
      <c r="D7" s="36">
        <v>74</v>
      </c>
      <c r="E7" s="36">
        <v>9</v>
      </c>
      <c r="F7" s="36" t="s">
        <v>211</v>
      </c>
      <c r="G7" s="36"/>
      <c r="H7" s="36"/>
      <c r="I7" s="36"/>
      <c r="J7" s="38"/>
      <c r="K7" s="38"/>
    </row>
    <row r="8" spans="1:11" ht="45" customHeight="1">
      <c r="A8" s="36" t="str">
        <f>_xlfn.DISPIMG("ID_11D4C94D39FE42EBA7606074B3824D79",1)</f>
        <v>=DISPIMG("ID_11D4C94D39FE42EBA7606074B3824D79",1)</v>
      </c>
      <c r="B8" s="36" t="s">
        <v>221</v>
      </c>
      <c r="C8" s="36" t="s">
        <v>222</v>
      </c>
      <c r="D8" s="36">
        <v>80</v>
      </c>
      <c r="E8" s="36">
        <v>10</v>
      </c>
      <c r="F8" s="36" t="s">
        <v>223</v>
      </c>
      <c r="G8" s="36"/>
      <c r="H8" s="36"/>
      <c r="I8" s="36"/>
      <c r="J8" s="38"/>
      <c r="K8" s="38"/>
    </row>
    <row r="9" spans="1:11" ht="37" customHeight="1">
      <c r="A9" s="36" t="str">
        <f>_xlfn.DISPIMG("ID_43F4AEEEC5F2493D93A134A4A528E476",1)</f>
        <v>=DISPIMG("ID_43F4AEEEC5F2493D93A134A4A528E476",1)</v>
      </c>
      <c r="B9" s="36" t="s">
        <v>224</v>
      </c>
      <c r="C9" s="36" t="s">
        <v>225</v>
      </c>
      <c r="D9" s="36"/>
      <c r="E9" s="36"/>
      <c r="F9" s="36"/>
      <c r="G9" s="36"/>
      <c r="H9" s="36">
        <v>78</v>
      </c>
      <c r="I9" s="36">
        <v>9.1999999999999993</v>
      </c>
      <c r="J9" s="38" t="s">
        <v>214</v>
      </c>
      <c r="K9" s="38"/>
    </row>
    <row r="10" spans="1:11" ht="50" customHeight="1">
      <c r="A10" s="36" t="str">
        <f>_xlfn.DISPIMG("ID_06A043063B5D4B79A357D9E3D9A64EDB",1)</f>
        <v>=DISPIMG("ID_06A043063B5D4B79A357D9E3D9A64EDB",1)</v>
      </c>
      <c r="B10" s="36" t="s">
        <v>226</v>
      </c>
      <c r="C10" s="36" t="s">
        <v>227</v>
      </c>
      <c r="D10" s="36">
        <v>85</v>
      </c>
      <c r="E10" s="36">
        <v>10.6</v>
      </c>
      <c r="F10" s="36" t="s">
        <v>228</v>
      </c>
      <c r="G10" s="36"/>
      <c r="H10" s="36"/>
      <c r="I10" s="36"/>
      <c r="J10" s="38"/>
      <c r="K10" s="38"/>
    </row>
    <row r="11" spans="1:11" ht="48" customHeight="1">
      <c r="A11" s="36" t="str">
        <f>_xlfn.DISPIMG("ID_8DB2D9E4D16A460CB776923DAD504267",1)</f>
        <v>=DISPIMG("ID_8DB2D9E4D16A460CB776923DAD504267",1)</v>
      </c>
      <c r="B11" s="36" t="s">
        <v>229</v>
      </c>
      <c r="C11" s="36" t="s">
        <v>230</v>
      </c>
      <c r="D11" s="36">
        <v>80</v>
      </c>
      <c r="E11" s="36">
        <v>10</v>
      </c>
      <c r="F11" s="36" t="s">
        <v>214</v>
      </c>
      <c r="G11" s="36"/>
      <c r="H11" s="36"/>
      <c r="I11" s="36"/>
      <c r="J11" s="38"/>
      <c r="K11" s="38"/>
    </row>
    <row r="12" spans="1:11" ht="50" customHeight="1">
      <c r="A12" s="36" t="str">
        <f>_xlfn.DISPIMG("ID_AE7B8A3B5F7A45C69E1C25B2850A4CAD",1)</f>
        <v>=DISPIMG("ID_AE7B8A3B5F7A45C69E1C25B2850A4CAD",1)</v>
      </c>
      <c r="B12" s="36" t="s">
        <v>231</v>
      </c>
      <c r="C12" s="36" t="s">
        <v>232</v>
      </c>
      <c r="D12" s="36"/>
      <c r="E12" s="36"/>
      <c r="F12" s="36"/>
      <c r="G12" s="36"/>
      <c r="H12" s="36">
        <v>106</v>
      </c>
      <c r="I12" s="36">
        <v>10.199999999999999</v>
      </c>
      <c r="J12" s="38" t="s">
        <v>214</v>
      </c>
      <c r="K12" s="38"/>
    </row>
    <row r="13" spans="1:11" ht="66" customHeight="1">
      <c r="A13" s="36" t="str">
        <f>_xlfn.DISPIMG("ID_4F66AB61347345E89D21A1DC37ED2CE4",1)</f>
        <v>=DISPIMG("ID_4F66AB61347345E89D21A1DC37ED2CE4",1)</v>
      </c>
      <c r="B13" s="36" t="s">
        <v>233</v>
      </c>
      <c r="C13" s="36" t="s">
        <v>234</v>
      </c>
      <c r="D13" s="36">
        <v>88</v>
      </c>
      <c r="E13" s="36">
        <v>11</v>
      </c>
      <c r="F13" s="36" t="s">
        <v>214</v>
      </c>
      <c r="G13" s="36"/>
      <c r="H13" s="36"/>
      <c r="I13" s="36"/>
      <c r="J13" s="38"/>
      <c r="K13" s="38"/>
    </row>
    <row r="14" spans="1:11" ht="54" customHeight="1">
      <c r="A14" s="36" t="str">
        <f>_xlfn.DISPIMG("ID_A526B50A128F44DEB87A3EB867373915",1)</f>
        <v>=DISPIMG("ID_A526B50A128F44DEB87A3EB867373915",1)</v>
      </c>
      <c r="B14" s="36" t="s">
        <v>235</v>
      </c>
      <c r="C14" s="36" t="s">
        <v>236</v>
      </c>
      <c r="D14" s="36">
        <v>100</v>
      </c>
      <c r="E14" s="36">
        <v>12.5</v>
      </c>
      <c r="F14" s="36" t="s">
        <v>214</v>
      </c>
      <c r="G14" s="36"/>
      <c r="H14" s="36">
        <v>93</v>
      </c>
      <c r="I14" s="36" t="s">
        <v>237</v>
      </c>
      <c r="J14" s="38" t="s">
        <v>214</v>
      </c>
      <c r="K14" s="38"/>
    </row>
    <row r="15" spans="1:11" ht="50" customHeight="1">
      <c r="A15" s="55" t="str">
        <f>_xlfn.DISPIMG("ID_0E62EF9E72934207967EF5D71F6EA5FE",1)</f>
        <v>=DISPIMG("ID_0E62EF9E72934207967EF5D71F6EA5FE",1)</v>
      </c>
      <c r="B15" s="36" t="s">
        <v>238</v>
      </c>
      <c r="C15" s="55" t="s">
        <v>239</v>
      </c>
      <c r="D15" s="36">
        <v>105</v>
      </c>
      <c r="E15" s="36">
        <v>12.8</v>
      </c>
      <c r="F15" s="36" t="s">
        <v>240</v>
      </c>
      <c r="G15" s="36"/>
      <c r="H15" s="36"/>
      <c r="I15" s="36"/>
      <c r="J15" s="38"/>
      <c r="K15" s="38"/>
    </row>
    <row r="16" spans="1:11" ht="58" customHeight="1">
      <c r="A16" s="36" t="str">
        <f>_xlfn.DISPIMG("ID_15A363603B254925B1F4E6B49BCBC625",1)</f>
        <v>=DISPIMG("ID_15A363603B254925B1F4E6B49BCBC625",1)</v>
      </c>
      <c r="B16" s="36" t="s">
        <v>241</v>
      </c>
      <c r="C16" s="36" t="s">
        <v>242</v>
      </c>
      <c r="D16" s="36">
        <v>112</v>
      </c>
      <c r="E16" s="36">
        <v>14</v>
      </c>
      <c r="F16" s="36" t="s">
        <v>214</v>
      </c>
      <c r="G16" s="36"/>
      <c r="H16" s="36"/>
      <c r="I16" s="36"/>
      <c r="J16" s="38"/>
      <c r="K16" s="38"/>
    </row>
    <row r="17" spans="1:11" ht="50" customHeight="1">
      <c r="A17" s="36" t="str">
        <f>_xlfn.DISPIMG("ID_21AF7108B08B48A5AB35472B4D0495C7",1)</f>
        <v>=DISPIMG("ID_21AF7108B08B48A5AB35472B4D0495C7",1)</v>
      </c>
      <c r="B17" s="36" t="s">
        <v>243</v>
      </c>
      <c r="C17" s="36" t="s">
        <v>244</v>
      </c>
      <c r="D17" s="36">
        <v>97</v>
      </c>
      <c r="E17" s="36">
        <v>12.1</v>
      </c>
      <c r="F17" s="36" t="s">
        <v>228</v>
      </c>
      <c r="G17" s="36"/>
      <c r="H17" s="36"/>
      <c r="I17" s="36"/>
      <c r="J17" s="38"/>
      <c r="K17" s="38"/>
    </row>
    <row r="18" spans="1:11" ht="42" customHeight="1">
      <c r="A18" s="55" t="str">
        <f>_xlfn.DISPIMG("ID_DEBF047CD33B4FA2B0F9D26217E083B1",1)</f>
        <v>=DISPIMG("ID_DEBF047CD33B4FA2B0F9D26217E083B1",1)</v>
      </c>
      <c r="B18" s="36" t="s">
        <v>245</v>
      </c>
      <c r="C18" s="55" t="s">
        <v>246</v>
      </c>
      <c r="D18" s="36">
        <v>111</v>
      </c>
      <c r="E18" s="36" t="s">
        <v>247</v>
      </c>
      <c r="F18" s="36" t="s">
        <v>240</v>
      </c>
      <c r="G18" s="36"/>
      <c r="H18" s="36"/>
      <c r="I18" s="36"/>
      <c r="J18" s="38"/>
      <c r="K18" s="38"/>
    </row>
    <row r="19" spans="1:11" ht="50" customHeight="1">
      <c r="A19" s="36" t="str">
        <f>_xlfn.DISPIMG("ID_B79FB7A909994F958C113EF516FFD345",1)</f>
        <v>=DISPIMG("ID_B79FB7A909994F958C113EF516FFD345",1)</v>
      </c>
      <c r="B19" s="36" t="s">
        <v>248</v>
      </c>
      <c r="C19" s="36" t="s">
        <v>249</v>
      </c>
      <c r="D19" s="36"/>
      <c r="E19" s="36"/>
      <c r="F19" s="36"/>
      <c r="G19" s="36"/>
      <c r="H19" s="36">
        <v>140</v>
      </c>
      <c r="I19" s="36">
        <v>15</v>
      </c>
      <c r="J19" s="38" t="s">
        <v>214</v>
      </c>
      <c r="K19" s="38"/>
    </row>
    <row r="20" spans="1:11" ht="50" customHeight="1">
      <c r="A20" s="55" t="str">
        <f>_xlfn.DISPIMG("ID_C44967DECB7C47A69CDC87251A6557A5",1)</f>
        <v>=DISPIMG("ID_C44967DECB7C47A69CDC87251A6557A5",1)</v>
      </c>
      <c r="B20" s="36" t="s">
        <v>250</v>
      </c>
      <c r="C20" s="36" t="s">
        <v>251</v>
      </c>
      <c r="D20" s="36">
        <v>115</v>
      </c>
      <c r="E20" s="36">
        <v>14</v>
      </c>
      <c r="F20" s="36" t="s">
        <v>240</v>
      </c>
      <c r="G20" s="36"/>
      <c r="H20" s="36"/>
      <c r="I20" s="36"/>
      <c r="J20" s="38"/>
      <c r="K20" s="38"/>
    </row>
    <row r="21" spans="1:11" ht="50" customHeight="1">
      <c r="A21" s="55" t="str">
        <f>_xlfn.DISPIMG("ID_8C240D1A3D5A4F32A73BD490F35271EC",1)</f>
        <v>=DISPIMG("ID_8C240D1A3D5A4F32A73BD490F35271EC",1)</v>
      </c>
      <c r="B21" s="36" t="s">
        <v>252</v>
      </c>
      <c r="C21" s="55" t="s">
        <v>253</v>
      </c>
      <c r="D21" s="36">
        <v>127</v>
      </c>
      <c r="E21" s="36">
        <v>15.5</v>
      </c>
      <c r="F21" s="36" t="s">
        <v>240</v>
      </c>
      <c r="G21" s="36"/>
      <c r="H21" s="36"/>
      <c r="I21" s="36"/>
      <c r="J21" s="38"/>
      <c r="K21" s="38"/>
    </row>
    <row r="22" spans="1:11" ht="49" customHeight="1">
      <c r="A22" s="55" t="str">
        <f>_xlfn.DISPIMG("ID_A05CC14A2D73465184DBAA0F943993CC",1)</f>
        <v>=DISPIMG("ID_A05CC14A2D73465184DBAA0F943993CC",1)</v>
      </c>
      <c r="B22" s="36" t="s">
        <v>254</v>
      </c>
      <c r="C22" s="55" t="s">
        <v>255</v>
      </c>
      <c r="D22" s="36">
        <v>127</v>
      </c>
      <c r="E22" s="36">
        <v>15.5</v>
      </c>
      <c r="F22" s="36" t="s">
        <v>240</v>
      </c>
      <c r="G22" s="36"/>
      <c r="H22" s="36"/>
      <c r="I22" s="36"/>
      <c r="J22" s="38"/>
      <c r="K22" s="38"/>
    </row>
    <row r="23" spans="1:11" ht="50" customHeight="1">
      <c r="A23" s="48"/>
      <c r="B23" s="36" t="s">
        <v>256</v>
      </c>
      <c r="C23" s="48" t="s">
        <v>257</v>
      </c>
      <c r="D23" s="36">
        <v>127</v>
      </c>
      <c r="E23" s="36">
        <v>15.5</v>
      </c>
      <c r="F23" s="36" t="s">
        <v>240</v>
      </c>
      <c r="G23" s="36"/>
      <c r="H23" s="36"/>
      <c r="I23" s="36"/>
      <c r="J23" s="38"/>
      <c r="K23" s="38"/>
    </row>
    <row r="24" spans="1:11" ht="50" customHeight="1">
      <c r="A24" s="36" t="str">
        <f>_xlfn.DISPIMG("ID_DC2BD24E3BF34DE1897E1B9842849E03",1)</f>
        <v>=DISPIMG("ID_DC2BD24E3BF34DE1897E1B9842849E03",1)</v>
      </c>
      <c r="B24" s="36" t="s">
        <v>258</v>
      </c>
      <c r="C24" s="36" t="s">
        <v>259</v>
      </c>
      <c r="D24" s="36"/>
      <c r="E24" s="36"/>
      <c r="F24" s="36"/>
      <c r="G24" s="36"/>
      <c r="H24" s="36">
        <v>155</v>
      </c>
      <c r="I24" s="36">
        <v>15.8</v>
      </c>
      <c r="J24" s="38" t="s">
        <v>260</v>
      </c>
      <c r="K24" s="38"/>
    </row>
    <row r="25" spans="1:11" ht="50" customHeight="1">
      <c r="A25" s="55"/>
      <c r="B25" s="36" t="s">
        <v>261</v>
      </c>
      <c r="C25" s="55" t="s">
        <v>262</v>
      </c>
      <c r="D25" s="36">
        <v>137</v>
      </c>
      <c r="E25" s="36">
        <v>16.7</v>
      </c>
      <c r="F25" s="36" t="s">
        <v>240</v>
      </c>
      <c r="G25" s="36"/>
      <c r="H25" s="36"/>
      <c r="I25" s="36"/>
      <c r="J25" s="38"/>
      <c r="K25" s="38"/>
    </row>
    <row r="26" spans="1:11" ht="50" customHeight="1">
      <c r="A26" s="55" t="str">
        <f>_xlfn.DISPIMG("ID_994BD1FA9AD641D5BD7242BA64B5212B",1)</f>
        <v>=DISPIMG("ID_994BD1FA9AD641D5BD7242BA64B5212B",1)</v>
      </c>
      <c r="B26" s="36" t="s">
        <v>263</v>
      </c>
      <c r="C26" s="55" t="s">
        <v>264</v>
      </c>
      <c r="D26" s="36">
        <v>138</v>
      </c>
      <c r="E26" s="36">
        <v>16.8</v>
      </c>
      <c r="F26" s="36" t="s">
        <v>240</v>
      </c>
      <c r="G26" s="36"/>
      <c r="H26" s="36"/>
      <c r="I26" s="36"/>
      <c r="J26" s="38"/>
      <c r="K26" s="38"/>
    </row>
    <row r="27" spans="1:11" ht="50" customHeight="1">
      <c r="A27" s="61"/>
      <c r="C27" s="61"/>
    </row>
    <row r="28" spans="1:11" ht="50" customHeight="1">
      <c r="A28" s="61"/>
      <c r="C28" s="61"/>
    </row>
    <row r="29" spans="1:11" ht="50" customHeight="1">
      <c r="A29" s="61"/>
      <c r="C29" s="61"/>
    </row>
    <row r="30" spans="1:11" ht="50" customHeight="1">
      <c r="A30" s="61"/>
      <c r="C30" s="61"/>
    </row>
    <row r="31" spans="1:11" ht="50" customHeight="1">
      <c r="A31" s="66" t="str">
        <f>_xlfn.DISPIMG("ID_A0AF5A03204545B49F3E93C19960F589",1)</f>
        <v>=DISPIMG("ID_A0AF5A03204545B49F3E93C19960F589",1)</v>
      </c>
      <c r="B31" s="36" t="s">
        <v>265</v>
      </c>
      <c r="C31" s="36" t="s">
        <v>216</v>
      </c>
      <c r="D31" s="36"/>
      <c r="E31" s="36"/>
      <c r="F31" s="36"/>
      <c r="G31" s="36"/>
      <c r="H31" s="36"/>
      <c r="I31" s="36"/>
      <c r="J31" s="36"/>
      <c r="K31" s="36"/>
    </row>
    <row r="32" spans="1:11" ht="50" customHeight="1">
      <c r="A32" s="66" t="str">
        <f>_xlfn.DISPIMG("ID_D6EF586B96F44CC4AA48F945E6CFFA86",1)</f>
        <v>=DISPIMG("ID_D6EF586B96F44CC4AA48F945E6CFFA86",1)</v>
      </c>
      <c r="B32" s="36" t="s">
        <v>266</v>
      </c>
      <c r="C32" s="36" t="s">
        <v>222</v>
      </c>
      <c r="D32" s="36"/>
      <c r="E32" s="36"/>
      <c r="F32" s="36"/>
      <c r="G32" s="36"/>
      <c r="H32" s="36"/>
      <c r="I32" s="36"/>
      <c r="J32" s="38"/>
      <c r="K32" s="38"/>
    </row>
    <row r="33" spans="1:11" ht="50" customHeight="1">
      <c r="A33" s="66" t="str">
        <f>_xlfn.DISPIMG("ID_87C96F2B28EA42288C470C3A5F5FA601",1)</f>
        <v>=DISPIMG("ID_87C96F2B28EA42288C470C3A5F5FA601",1)</v>
      </c>
      <c r="B33" s="36" t="s">
        <v>267</v>
      </c>
      <c r="C33" s="36" t="s">
        <v>230</v>
      </c>
      <c r="D33" s="36"/>
      <c r="E33" s="36"/>
      <c r="F33" s="36"/>
      <c r="G33" s="36"/>
      <c r="H33" s="36"/>
      <c r="I33" s="36"/>
      <c r="J33" s="38"/>
      <c r="K33" s="38"/>
    </row>
    <row r="34" spans="1:11" ht="33.25" customHeight="1">
      <c r="A34" s="36" t="str">
        <f>_xlfn.DISPIMG("ID_603B35A95B62492384B3667C82EE4504",1)</f>
        <v>=DISPIMG("ID_603B35A95B62492384B3667C82EE4504",1)</v>
      </c>
      <c r="B34" s="36" t="s">
        <v>268</v>
      </c>
      <c r="C34" s="36" t="s">
        <v>234</v>
      </c>
      <c r="D34" s="36"/>
      <c r="E34" s="36"/>
      <c r="F34" s="36"/>
      <c r="G34" s="36"/>
      <c r="H34" s="36"/>
      <c r="I34" s="36"/>
      <c r="J34" s="38"/>
      <c r="K34" s="38"/>
    </row>
    <row r="35" spans="1:11" ht="50" customHeight="1">
      <c r="A35" s="66" t="str">
        <f>_xlfn.DISPIMG("ID_88619DF1DC2D451AAB942055CD042344",1)</f>
        <v>=DISPIMG("ID_88619DF1DC2D451AAB942055CD042344",1)</v>
      </c>
      <c r="B35" s="36" t="s">
        <v>269</v>
      </c>
      <c r="C35" s="36" t="s">
        <v>236</v>
      </c>
      <c r="D35" s="36"/>
      <c r="E35" s="36"/>
      <c r="F35" s="36"/>
      <c r="G35" s="36"/>
      <c r="H35" s="36"/>
      <c r="I35" s="36"/>
      <c r="J35" s="38"/>
      <c r="K35" s="38"/>
    </row>
    <row r="36" spans="1:11" ht="50" customHeight="1">
      <c r="A36" s="66" t="str">
        <f>_xlfn.DISPIMG("ID_599BDE2E4D134A29923C5B6B388F63AC",1)</f>
        <v>=DISPIMG("ID_599BDE2E4D134A29923C5B6B388F63AC",1)</v>
      </c>
      <c r="B36" s="36" t="s">
        <v>270</v>
      </c>
      <c r="C36" s="36" t="s">
        <v>239</v>
      </c>
      <c r="D36" s="36"/>
      <c r="E36" s="36"/>
      <c r="F36" s="36"/>
      <c r="G36" s="36"/>
      <c r="H36" s="36"/>
      <c r="I36" s="36"/>
      <c r="J36" s="38"/>
      <c r="K36" s="38"/>
    </row>
    <row r="37" spans="1:11" ht="50" customHeight="1">
      <c r="A37" s="66" t="str">
        <f>_xlfn.DISPIMG("ID_81450AF702174BA1BCF7D244C2A4894C",1)</f>
        <v>=DISPIMG("ID_81450AF702174BA1BCF7D244C2A4894C",1)</v>
      </c>
      <c r="B37" s="36" t="s">
        <v>271</v>
      </c>
      <c r="C37" s="36" t="s">
        <v>242</v>
      </c>
      <c r="D37" s="36"/>
      <c r="E37" s="36"/>
      <c r="F37" s="36"/>
      <c r="G37" s="36"/>
      <c r="H37" s="36"/>
      <c r="I37" s="36"/>
      <c r="J37" s="38"/>
      <c r="K37" s="38"/>
    </row>
    <row r="38" spans="1:11" ht="50" customHeight="1">
      <c r="A38" s="78" t="str">
        <f>_xlfn.DISPIMG("ID_9F18C8DC1A3843D1854FBCD5509AD1ED",1)</f>
        <v>=DISPIMG("ID_9F18C8DC1A3843D1854FBCD5509AD1ED",1)</v>
      </c>
      <c r="B38" s="36" t="s">
        <v>272</v>
      </c>
      <c r="C38" s="79" t="s">
        <v>246</v>
      </c>
      <c r="D38" s="79"/>
      <c r="E38" s="79"/>
      <c r="F38" s="79"/>
      <c r="G38" s="79"/>
      <c r="H38" s="79"/>
      <c r="I38" s="79"/>
      <c r="J38" s="94"/>
      <c r="K38" s="94"/>
    </row>
    <row r="39" spans="1:11" ht="50" customHeight="1">
      <c r="A39" s="80" t="str">
        <f>_xlfn.DISPIMG("ID_933E1510C24C4EAE96EC208A080207BC",1)</f>
        <v>=DISPIMG("ID_933E1510C24C4EAE96EC208A080207BC",1)</v>
      </c>
      <c r="B39" s="56" t="s">
        <v>273</v>
      </c>
      <c r="C39" s="56" t="s">
        <v>255</v>
      </c>
      <c r="D39" s="56"/>
      <c r="E39" s="56"/>
      <c r="F39" s="56"/>
      <c r="G39" s="56"/>
      <c r="H39" s="56"/>
      <c r="I39" s="56"/>
      <c r="J39" s="95"/>
      <c r="K39" s="95"/>
    </row>
    <row r="41" spans="1:11">
      <c r="A41" s="154" t="s">
        <v>274</v>
      </c>
      <c r="B41" s="154"/>
      <c r="C41" s="154"/>
      <c r="D41" s="155"/>
    </row>
    <row r="42" spans="1:11">
      <c r="A42" s="156"/>
      <c r="B42" s="156"/>
      <c r="C42" s="156"/>
      <c r="D42" s="157"/>
    </row>
    <row r="43" spans="1:11" ht="22.5">
      <c r="A43" s="81"/>
      <c r="B43" s="82" t="s">
        <v>275</v>
      </c>
      <c r="C43" s="83" t="s">
        <v>276</v>
      </c>
      <c r="D43" s="84" t="s">
        <v>277</v>
      </c>
      <c r="E43" s="85"/>
      <c r="F43" s="85"/>
      <c r="G43" s="85"/>
      <c r="H43" s="85"/>
      <c r="I43" s="85"/>
      <c r="J43" s="85"/>
      <c r="K43" s="85"/>
    </row>
    <row r="44" spans="1:11" ht="22.5">
      <c r="A44" s="86" t="s">
        <v>278</v>
      </c>
      <c r="B44" s="87">
        <v>4</v>
      </c>
      <c r="C44" s="88">
        <v>5</v>
      </c>
      <c r="D44" s="89">
        <v>6</v>
      </c>
      <c r="E44" s="85"/>
      <c r="F44" s="85"/>
      <c r="G44" s="85"/>
      <c r="H44" s="85"/>
      <c r="I44" s="85"/>
      <c r="J44" s="85"/>
      <c r="K44" s="85"/>
    </row>
    <row r="45" spans="1:11" ht="22.5">
      <c r="A45" s="86" t="s">
        <v>279</v>
      </c>
      <c r="B45" s="87">
        <v>4</v>
      </c>
      <c r="C45" s="88">
        <v>5</v>
      </c>
      <c r="D45" s="89">
        <v>6</v>
      </c>
      <c r="E45" s="85"/>
      <c r="F45" s="85"/>
      <c r="G45" s="85"/>
      <c r="H45" s="85"/>
      <c r="I45" s="85"/>
      <c r="J45" s="85"/>
      <c r="K45" s="85"/>
    </row>
    <row r="46" spans="1:11" ht="22.5">
      <c r="A46" s="86" t="s">
        <v>280</v>
      </c>
      <c r="B46" s="87">
        <v>4</v>
      </c>
      <c r="C46" s="88">
        <v>5</v>
      </c>
      <c r="D46" s="89">
        <v>7.5</v>
      </c>
      <c r="E46" s="85"/>
      <c r="F46" s="85"/>
      <c r="G46" s="85"/>
      <c r="H46" s="85"/>
      <c r="I46" s="85"/>
      <c r="J46" s="85"/>
      <c r="K46" s="85"/>
    </row>
    <row r="47" spans="1:11" ht="22.5">
      <c r="A47" s="86" t="s">
        <v>281</v>
      </c>
      <c r="B47" s="87">
        <v>4.5</v>
      </c>
      <c r="C47" s="88">
        <v>6</v>
      </c>
      <c r="D47" s="89">
        <v>8</v>
      </c>
      <c r="E47" s="85"/>
      <c r="F47" s="85"/>
      <c r="G47" s="85"/>
      <c r="H47" s="85"/>
      <c r="I47" s="85"/>
      <c r="J47" s="85"/>
      <c r="K47" s="85"/>
    </row>
    <row r="48" spans="1:11" ht="22.5">
      <c r="A48" s="86" t="s">
        <v>282</v>
      </c>
      <c r="B48" s="87">
        <v>4.5</v>
      </c>
      <c r="C48" s="88">
        <v>6</v>
      </c>
      <c r="D48" s="89">
        <v>8.5</v>
      </c>
      <c r="E48" s="85"/>
      <c r="F48" s="85"/>
      <c r="G48" s="85"/>
      <c r="H48" s="85"/>
      <c r="I48" s="85"/>
      <c r="J48" s="85"/>
      <c r="K48" s="85"/>
    </row>
    <row r="49" spans="1:11" ht="22.5">
      <c r="A49" s="86" t="s">
        <v>283</v>
      </c>
      <c r="B49" s="87">
        <v>6</v>
      </c>
      <c r="C49" s="88">
        <v>7</v>
      </c>
      <c r="D49" s="89">
        <v>9</v>
      </c>
      <c r="E49" s="85"/>
      <c r="F49" s="85"/>
      <c r="G49" s="85"/>
      <c r="H49" s="85"/>
      <c r="I49" s="85"/>
      <c r="J49" s="85"/>
      <c r="K49" s="85"/>
    </row>
    <row r="50" spans="1:11" ht="22.5">
      <c r="A50" s="86" t="s">
        <v>284</v>
      </c>
      <c r="B50" s="87">
        <v>6</v>
      </c>
      <c r="C50" s="88">
        <v>7</v>
      </c>
      <c r="D50" s="89">
        <v>9</v>
      </c>
      <c r="E50" s="85"/>
      <c r="F50" s="85"/>
      <c r="G50" s="85"/>
      <c r="H50" s="85"/>
      <c r="I50" s="85"/>
      <c r="J50" s="85"/>
      <c r="K50" s="85"/>
    </row>
    <row r="51" spans="1:11" ht="22.5">
      <c r="A51" s="90"/>
      <c r="B51" s="91" t="s">
        <v>285</v>
      </c>
      <c r="C51" s="91" t="s">
        <v>286</v>
      </c>
      <c r="D51" s="92" t="s">
        <v>287</v>
      </c>
      <c r="E51" s="85"/>
      <c r="F51" s="85"/>
      <c r="G51" s="85"/>
      <c r="H51" s="85"/>
      <c r="I51" s="85"/>
      <c r="J51" s="85"/>
      <c r="K51" s="85"/>
    </row>
  </sheetData>
  <mergeCells count="4">
    <mergeCell ref="E1:F1"/>
    <mergeCell ref="I1:J1"/>
    <mergeCell ref="A2:K2"/>
    <mergeCell ref="A41:D42"/>
  </mergeCells>
  <pageMargins left="0.75" right="0.75" top="1" bottom="1" header="0.5" footer="0.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XFB25"/>
  <sheetViews>
    <sheetView workbookViewId="0">
      <selection activeCell="C5" sqref="C5"/>
    </sheetView>
  </sheetViews>
  <sheetFormatPr defaultColWidth="9" defaultRowHeight="15"/>
  <cols>
    <col min="1" max="1" width="10.6328125" style="1" customWidth="1"/>
    <col min="2" max="2" width="30.6328125" style="1" customWidth="1"/>
    <col min="3" max="3" width="22.6328125" style="61" customWidth="1"/>
    <col min="4" max="5" width="22.6328125" style="1" customWidth="1"/>
    <col min="6" max="7" width="22.6328125" style="1" hidden="1" customWidth="1"/>
    <col min="8" max="8" width="15" style="1" customWidth="1"/>
    <col min="9" max="16382" width="9" style="1"/>
  </cols>
  <sheetData>
    <row r="1" spans="1:8" s="1" customFormat="1" ht="60" customHeight="1">
      <c r="A1" s="41" t="s">
        <v>0</v>
      </c>
      <c r="B1" s="41" t="s">
        <v>125</v>
      </c>
      <c r="C1" s="41" t="s">
        <v>2</v>
      </c>
      <c r="D1" s="41" t="s">
        <v>288</v>
      </c>
      <c r="E1" s="41" t="s">
        <v>289</v>
      </c>
      <c r="F1" s="41" t="s">
        <v>5</v>
      </c>
      <c r="G1" s="41" t="s">
        <v>290</v>
      </c>
    </row>
    <row r="2" spans="1:8" s="1" customFormat="1" ht="60" customHeight="1">
      <c r="A2" s="158" t="s">
        <v>291</v>
      </c>
      <c r="B2" s="159"/>
      <c r="C2" s="159"/>
      <c r="D2" s="159"/>
      <c r="E2" s="159"/>
      <c r="F2" s="159"/>
      <c r="G2" s="160"/>
    </row>
    <row r="3" spans="1:8" s="1" customFormat="1" ht="100" customHeight="1">
      <c r="A3" s="36" t="str">
        <f>_xlfn.DISPIMG("ID_14594AE0660545D79518BA924F5F85B4",1)</f>
        <v>=DISPIMG("ID_14594AE0660545D79518BA924F5F85B4",1)</v>
      </c>
      <c r="B3" s="36" t="s">
        <v>292</v>
      </c>
      <c r="C3" s="36" t="s">
        <v>293</v>
      </c>
      <c r="D3" s="36">
        <v>50</v>
      </c>
      <c r="E3" s="36">
        <v>4.7</v>
      </c>
      <c r="F3" s="36" t="s">
        <v>79</v>
      </c>
      <c r="G3" s="36"/>
    </row>
    <row r="4" spans="1:8" s="1" customFormat="1" ht="50" customHeight="1">
      <c r="A4" s="55" t="str">
        <f>_xlfn.DISPIMG("ID_22E519B779784042BF55FABCC69A2864",1)</f>
        <v>=DISPIMG("ID_22E519B779784042BF55FABCC69A2864",1)</v>
      </c>
      <c r="B4" s="36" t="s">
        <v>294</v>
      </c>
      <c r="C4" s="55" t="s">
        <v>222</v>
      </c>
      <c r="D4" s="36">
        <v>66</v>
      </c>
      <c r="E4" s="36">
        <v>8</v>
      </c>
      <c r="F4" s="36" t="s">
        <v>79</v>
      </c>
      <c r="G4" s="36" t="s">
        <v>295</v>
      </c>
    </row>
    <row r="5" spans="1:8" s="1" customFormat="1" ht="69" customHeight="1">
      <c r="A5" s="55" t="str">
        <f>_xlfn.DISPIMG("ID_E398060CD73F4A6380FE6CF8F082E067",1)</f>
        <v>=DISPIMG("ID_E398060CD73F4A6380FE6CF8F082E067",1)</v>
      </c>
      <c r="B5" s="36" t="s">
        <v>296</v>
      </c>
      <c r="C5" s="55" t="s">
        <v>236</v>
      </c>
      <c r="D5" s="36">
        <v>76</v>
      </c>
      <c r="E5" s="36">
        <v>11.5</v>
      </c>
      <c r="F5" s="36" t="s">
        <v>79</v>
      </c>
      <c r="G5" s="36" t="s">
        <v>297</v>
      </c>
    </row>
    <row r="6" spans="1:8" s="1" customFormat="1" ht="52" customHeight="1">
      <c r="A6" s="55" t="str">
        <f>_xlfn.DISPIMG("ID_CA8A53690EA348C5B980AFE8DB5E0D00",1)</f>
        <v>=DISPIMG("ID_CA8A53690EA348C5B980AFE8DB5E0D00",1)</v>
      </c>
      <c r="B6" s="36" t="s">
        <v>298</v>
      </c>
      <c r="C6" s="55" t="s">
        <v>230</v>
      </c>
      <c r="D6" s="36">
        <v>78</v>
      </c>
      <c r="E6" s="36">
        <v>10.8</v>
      </c>
      <c r="F6" s="36" t="s">
        <v>79</v>
      </c>
      <c r="G6" s="36" t="s">
        <v>295</v>
      </c>
      <c r="H6" s="72"/>
    </row>
    <row r="7" spans="1:8" s="1" customFormat="1" ht="67" customHeight="1">
      <c r="A7" s="55" t="str">
        <f>_xlfn.DISPIMG("ID_0E30285DCB1C46609ABECBCF4E68CA90",1)</f>
        <v>=DISPIMG("ID_0E30285DCB1C46609ABECBCF4E68CA90",1)</v>
      </c>
      <c r="B7" s="36" t="s">
        <v>299</v>
      </c>
      <c r="C7" s="55" t="s">
        <v>234</v>
      </c>
      <c r="D7" s="36">
        <v>72</v>
      </c>
      <c r="E7" s="36">
        <v>12</v>
      </c>
      <c r="F7" s="36" t="s">
        <v>79</v>
      </c>
      <c r="G7" s="36"/>
    </row>
    <row r="8" spans="1:8" s="1" customFormat="1" ht="55" customHeight="1">
      <c r="A8" s="53" t="str">
        <f>_xlfn.DISPIMG("ID_9492CC211EDC4A5BBFEAE076AAAC5301",1)</f>
        <v>=DISPIMG("ID_9492CC211EDC4A5BBFEAE076AAAC5301",1)</v>
      </c>
      <c r="B8" s="36" t="s">
        <v>300</v>
      </c>
      <c r="C8" s="53" t="s">
        <v>239</v>
      </c>
      <c r="D8" s="36">
        <v>108</v>
      </c>
      <c r="E8" s="36">
        <v>12</v>
      </c>
      <c r="F8" s="36" t="s">
        <v>79</v>
      </c>
      <c r="G8" s="36" t="s">
        <v>297</v>
      </c>
    </row>
    <row r="9" spans="1:8" s="1" customFormat="1" ht="33.25" customHeight="1">
      <c r="A9" s="55" t="str">
        <f>_xlfn.DISPIMG("ID_EEA84F39F3D04089BBECF0BCE9559594",1)</f>
        <v>=DISPIMG("ID_EEA84F39F3D04089BBECF0BCE9559594",1)</v>
      </c>
      <c r="B9" s="36" t="s">
        <v>301</v>
      </c>
      <c r="C9" s="55" t="s">
        <v>242</v>
      </c>
      <c r="D9" s="36">
        <v>122</v>
      </c>
      <c r="E9" s="36">
        <v>14.5</v>
      </c>
      <c r="F9" s="36" t="s">
        <v>79</v>
      </c>
      <c r="G9" s="36"/>
    </row>
    <row r="10" spans="1:8" s="1" customFormat="1" ht="59" customHeight="1">
      <c r="A10" s="55" t="str">
        <f>_xlfn.DISPIMG("ID_021D4970777B48F09763AD6E3487EF05",1)</f>
        <v>=DISPIMG("ID_021D4970777B48F09763AD6E3487EF05",1)</v>
      </c>
      <c r="B10" s="36" t="s">
        <v>302</v>
      </c>
      <c r="C10" s="55" t="s">
        <v>246</v>
      </c>
      <c r="D10" s="36">
        <v>110</v>
      </c>
      <c r="E10" s="36">
        <v>14.5</v>
      </c>
      <c r="F10" s="36" t="s">
        <v>79</v>
      </c>
      <c r="G10" s="36"/>
    </row>
    <row r="11" spans="1:8" s="1" customFormat="1" ht="61" customHeight="1">
      <c r="A11" s="55" t="str">
        <f>_xlfn.DISPIMG("ID_D55501F49CB549719779C9E6F7A9D701",1)</f>
        <v>=DISPIMG("ID_D55501F49CB549719779C9E6F7A9D701",1)</v>
      </c>
      <c r="B11" s="36" t="s">
        <v>303</v>
      </c>
      <c r="C11" s="55" t="s">
        <v>253</v>
      </c>
      <c r="D11" s="36">
        <v>133</v>
      </c>
      <c r="E11" s="36">
        <v>16.600000000000001</v>
      </c>
      <c r="F11" s="36" t="s">
        <v>8</v>
      </c>
      <c r="G11" s="36"/>
    </row>
    <row r="12" spans="1:8" s="1" customFormat="1" ht="67" customHeight="1">
      <c r="A12" s="55" t="str">
        <f>_xlfn.DISPIMG("ID_E9081EFE00CD49A98CDB19AA070FB57C",1)</f>
        <v>=DISPIMG("ID_E9081EFE00CD49A98CDB19AA070FB57C",1)</v>
      </c>
      <c r="B12" s="36" t="s">
        <v>304</v>
      </c>
      <c r="C12" s="55" t="s">
        <v>255</v>
      </c>
      <c r="D12" s="36">
        <v>150</v>
      </c>
      <c r="E12" s="36">
        <v>17.5</v>
      </c>
      <c r="F12" s="36" t="s">
        <v>79</v>
      </c>
      <c r="G12" s="36"/>
    </row>
    <row r="13" spans="1:8" s="1" customFormat="1" ht="60" customHeight="1">
      <c r="A13" s="36" t="str">
        <f>_xlfn.DISPIMG("ID_A4871FB25312410AB8E6BC2D58E4F293",1)</f>
        <v>=DISPIMG("ID_A4871FB25312410AB8E6BC2D58E4F293",1)</v>
      </c>
      <c r="B13" s="36" t="s">
        <v>305</v>
      </c>
      <c r="C13" s="36" t="s">
        <v>262</v>
      </c>
      <c r="D13" s="36">
        <v>170</v>
      </c>
      <c r="E13" s="36">
        <v>19.5</v>
      </c>
      <c r="F13" s="36" t="s">
        <v>79</v>
      </c>
      <c r="G13" s="36"/>
    </row>
    <row r="14" spans="1:8" ht="50" customHeight="1"/>
    <row r="15" spans="1:8" ht="50" customHeight="1"/>
    <row r="16" spans="1:8" ht="50" customHeight="1"/>
    <row r="17" ht="50" customHeight="1"/>
    <row r="18" ht="50" customHeight="1"/>
    <row r="19" ht="50" customHeight="1"/>
    <row r="20" ht="50" customHeight="1"/>
    <row r="21" ht="50" customHeight="1"/>
    <row r="22" ht="50" customHeight="1"/>
    <row r="23" ht="50" customHeight="1"/>
    <row r="24" ht="50" customHeight="1"/>
    <row r="25" ht="50" customHeight="1"/>
  </sheetData>
  <mergeCells count="1">
    <mergeCell ref="A2:G2"/>
  </mergeCells>
  <pageMargins left="0.75" right="0.75" top="1" bottom="1" header="0.5" footer="0.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XFB24"/>
  <sheetViews>
    <sheetView workbookViewId="0">
      <selection activeCell="M6" sqref="M6"/>
    </sheetView>
  </sheetViews>
  <sheetFormatPr defaultColWidth="9" defaultRowHeight="15"/>
  <cols>
    <col min="1" max="1" width="10.6328125" style="1" customWidth="1"/>
    <col min="2" max="2" width="30.6328125" style="1" customWidth="1"/>
    <col min="3" max="5" width="22.6328125" style="1" customWidth="1"/>
    <col min="6" max="7" width="22.6328125" style="1" hidden="1" customWidth="1"/>
    <col min="8" max="16382" width="9" style="1"/>
  </cols>
  <sheetData>
    <row r="1" spans="1:7" s="1" customFormat="1" ht="60" customHeight="1">
      <c r="A1" s="41" t="s">
        <v>0</v>
      </c>
      <c r="B1" s="41" t="s">
        <v>125</v>
      </c>
      <c r="C1" s="41" t="s">
        <v>2</v>
      </c>
      <c r="D1" s="41" t="s">
        <v>288</v>
      </c>
      <c r="E1" s="41" t="s">
        <v>289</v>
      </c>
      <c r="F1" s="41" t="s">
        <v>5</v>
      </c>
      <c r="G1" s="41" t="s">
        <v>290</v>
      </c>
    </row>
    <row r="2" spans="1:7" s="1" customFormat="1" ht="60" customHeight="1">
      <c r="A2" s="144" t="s">
        <v>291</v>
      </c>
      <c r="B2" s="144"/>
      <c r="C2" s="144"/>
      <c r="D2" s="144"/>
      <c r="E2" s="144"/>
      <c r="F2" s="144"/>
      <c r="G2" s="144"/>
    </row>
    <row r="3" spans="1:7" s="1" customFormat="1" ht="33.25" customHeight="1">
      <c r="A3" s="53" t="str">
        <f>_xlfn.DISPIMG("ID_5B7D80D494A04243A76DBF1B8D7967B5",1)</f>
        <v>=DISPIMG("ID_5B7D80D494A04243A76DBF1B8D7967B5",1)</v>
      </c>
      <c r="B3" s="48" t="s">
        <v>306</v>
      </c>
      <c r="C3" s="53" t="s">
        <v>234</v>
      </c>
      <c r="D3" s="48"/>
      <c r="E3" s="48">
        <v>17</v>
      </c>
      <c r="F3" s="48" t="s">
        <v>79</v>
      </c>
      <c r="G3" s="48"/>
    </row>
    <row r="4" spans="1:7" s="1" customFormat="1" ht="33.25" customHeight="1">
      <c r="A4" s="55" t="str">
        <f>_xlfn.DISPIMG("ID_697876AD42354179BCD7CD00D24DAA13",1)</f>
        <v>=DISPIMG("ID_697876AD42354179BCD7CD00D24DAA13",1)</v>
      </c>
      <c r="B4" s="36" t="s">
        <v>307</v>
      </c>
      <c r="C4" s="55" t="s">
        <v>236</v>
      </c>
      <c r="D4" s="36"/>
      <c r="E4" s="36">
        <v>67</v>
      </c>
      <c r="F4" s="36" t="s">
        <v>79</v>
      </c>
      <c r="G4" s="36" t="s">
        <v>308</v>
      </c>
    </row>
    <row r="5" spans="1:7" s="1" customFormat="1" ht="61" customHeight="1">
      <c r="A5" s="36" t="str">
        <f>_xlfn.DISPIMG("ID_CCEB0E9E453E495EB111E0AECD580B6E",1)</f>
        <v>=DISPIMG("ID_CCEB0E9E453E495EB111E0AECD580B6E",1)</v>
      </c>
      <c r="B5" s="36" t="s">
        <v>309</v>
      </c>
      <c r="C5" s="36" t="s">
        <v>239</v>
      </c>
      <c r="D5" s="36"/>
      <c r="E5" s="36">
        <v>20</v>
      </c>
      <c r="F5" s="36" t="s">
        <v>8</v>
      </c>
      <c r="G5" s="36" t="s">
        <v>297</v>
      </c>
    </row>
    <row r="6" spans="1:7" s="1" customFormat="1" ht="50" customHeight="1">
      <c r="A6" s="55" t="str">
        <f>_xlfn.DISPIMG("ID_56A24518D4F64D5CA93A8140BE80BC29",1)</f>
        <v>=DISPIMG("ID_56A24518D4F64D5CA93A8140BE80BC29",1)</v>
      </c>
      <c r="B6" s="36" t="s">
        <v>310</v>
      </c>
      <c r="C6" s="55" t="s">
        <v>242</v>
      </c>
      <c r="D6" s="36"/>
      <c r="E6" s="36">
        <v>21</v>
      </c>
      <c r="F6" s="36" t="s">
        <v>79</v>
      </c>
      <c r="G6" s="36" t="s">
        <v>297</v>
      </c>
    </row>
    <row r="7" spans="1:7" s="1" customFormat="1" ht="100" customHeight="1">
      <c r="A7" s="36" t="str">
        <f>_xlfn.DISPIMG("ID_80813C076E2E43C7ABC3FFD18EA3A171",1)</f>
        <v>=DISPIMG("ID_80813C076E2E43C7ABC3FFD18EA3A171",1)</v>
      </c>
      <c r="B7" s="36" t="s">
        <v>311</v>
      </c>
      <c r="C7" s="36" t="s">
        <v>246</v>
      </c>
      <c r="D7" s="36"/>
      <c r="E7" s="36">
        <v>22.5</v>
      </c>
      <c r="F7" s="36" t="s">
        <v>8</v>
      </c>
      <c r="G7" s="36" t="s">
        <v>312</v>
      </c>
    </row>
    <row r="8" spans="1:7" s="1" customFormat="1" ht="50" customHeight="1">
      <c r="A8" s="145" t="str">
        <f>_xlfn.DISPIMG("ID_752C274B160F4AE9A253D7F08CDBB0AC",1)</f>
        <v>=DISPIMG("ID_752C274B160F4AE9A253D7F08CDBB0AC",1)</v>
      </c>
      <c r="B8" s="36" t="s">
        <v>313</v>
      </c>
      <c r="C8" s="145" t="s">
        <v>255</v>
      </c>
      <c r="D8" s="36"/>
      <c r="E8" s="36">
        <v>25</v>
      </c>
      <c r="F8" s="36" t="s">
        <v>79</v>
      </c>
      <c r="G8" s="36" t="s">
        <v>297</v>
      </c>
    </row>
    <row r="9" spans="1:7" s="1" customFormat="1" ht="50" customHeight="1">
      <c r="A9" s="154"/>
      <c r="B9" s="36" t="s">
        <v>314</v>
      </c>
      <c r="C9" s="154"/>
      <c r="D9" s="36"/>
      <c r="E9" s="36">
        <v>23.5</v>
      </c>
      <c r="F9" s="36" t="s">
        <v>8</v>
      </c>
      <c r="G9" s="36"/>
    </row>
    <row r="10" spans="1:7" s="1" customFormat="1" ht="100" customHeight="1">
      <c r="A10" s="36" t="str">
        <f>_xlfn.DISPIMG("ID_B1DDDCA2677444389131C6E230B32F88",1)</f>
        <v>=DISPIMG("ID_B1DDDCA2677444389131C6E230B32F88",1)</v>
      </c>
      <c r="B10" s="36" t="s">
        <v>315</v>
      </c>
      <c r="C10" s="36" t="s">
        <v>262</v>
      </c>
      <c r="D10" s="36"/>
      <c r="E10" s="36">
        <v>26.5</v>
      </c>
      <c r="F10" s="36" t="s">
        <v>8</v>
      </c>
      <c r="G10" s="36" t="s">
        <v>297</v>
      </c>
    </row>
    <row r="11" spans="1:7" s="1" customFormat="1" ht="100" customHeight="1">
      <c r="A11" s="36" t="str">
        <f>_xlfn.DISPIMG("ID_B2882EA549A24E82BE26BAB0918E1910",1)</f>
        <v>=DISPIMG("ID_B2882EA549A24E82BE26BAB0918E1910",1)</v>
      </c>
      <c r="B11" s="36" t="s">
        <v>316</v>
      </c>
      <c r="C11" s="36" t="s">
        <v>264</v>
      </c>
      <c r="D11" s="36"/>
      <c r="E11" s="36">
        <v>28</v>
      </c>
      <c r="F11" s="36" t="s">
        <v>8</v>
      </c>
      <c r="G11" s="36" t="s">
        <v>297</v>
      </c>
    </row>
    <row r="12" spans="1:7" s="1" customFormat="1" ht="100" customHeight="1">
      <c r="A12" s="161" t="s">
        <v>317</v>
      </c>
      <c r="B12" s="161"/>
      <c r="C12" s="161"/>
      <c r="D12" s="161"/>
      <c r="E12" s="161"/>
      <c r="F12" s="161"/>
      <c r="G12" s="161"/>
    </row>
    <row r="13" spans="1:7" s="1" customFormat="1" ht="100" customHeight="1">
      <c r="A13" s="41" t="s">
        <v>0</v>
      </c>
      <c r="B13" s="41" t="s">
        <v>125</v>
      </c>
      <c r="C13" s="41" t="s">
        <v>2</v>
      </c>
      <c r="D13" s="41" t="s">
        <v>288</v>
      </c>
      <c r="E13" s="41" t="s">
        <v>289</v>
      </c>
      <c r="F13" s="41" t="s">
        <v>5</v>
      </c>
      <c r="G13" s="70" t="s">
        <v>290</v>
      </c>
    </row>
    <row r="14" spans="1:7" s="1" customFormat="1" ht="100" customHeight="1">
      <c r="A14" s="144" t="s">
        <v>318</v>
      </c>
      <c r="B14" s="144"/>
      <c r="C14" s="144"/>
      <c r="D14" s="144"/>
      <c r="E14" s="144"/>
      <c r="F14" s="144"/>
      <c r="G14" s="162"/>
    </row>
    <row r="15" spans="1:7" s="1" customFormat="1" ht="100" customHeight="1">
      <c r="A15" s="36" t="str">
        <f>_xlfn.DISPIMG("ID_129717C2DC8B4777AEF20508E26E9FBD",1)</f>
        <v>=DISPIMG("ID_129717C2DC8B4777AEF20508E26E9FBD",1)</v>
      </c>
      <c r="B15" s="43" t="s">
        <v>319</v>
      </c>
      <c r="C15" s="36"/>
      <c r="D15" s="36"/>
      <c r="E15" s="36">
        <v>42</v>
      </c>
      <c r="F15" s="36" t="s">
        <v>320</v>
      </c>
      <c r="G15" s="57"/>
    </row>
    <row r="16" spans="1:7" s="1" customFormat="1" ht="100" customHeight="1">
      <c r="A16" s="36" t="str">
        <f>_xlfn.DISPIMG("ID_E781AEE358064038A3DB363FE1515EDC",1)</f>
        <v>=DISPIMG("ID_E781AEE358064038A3DB363FE1515EDC",1)</v>
      </c>
      <c r="B16" s="43" t="s">
        <v>321</v>
      </c>
      <c r="C16" s="36"/>
      <c r="D16" s="36"/>
      <c r="E16" s="36">
        <v>45</v>
      </c>
      <c r="F16" s="36" t="s">
        <v>320</v>
      </c>
      <c r="G16" s="57"/>
    </row>
    <row r="17" spans="1:7" s="1" customFormat="1" ht="100" customHeight="1">
      <c r="A17" s="36" t="str">
        <f>_xlfn.DISPIMG("ID_1325DA393FD44D76AD244114AE086793",1)</f>
        <v>=DISPIMG("ID_1325DA393FD44D76AD244114AE086793",1)</v>
      </c>
      <c r="B17" s="43" t="s">
        <v>322</v>
      </c>
      <c r="C17" s="36"/>
      <c r="D17" s="36"/>
      <c r="E17" s="36">
        <v>44</v>
      </c>
      <c r="F17" s="36" t="s">
        <v>320</v>
      </c>
      <c r="G17" s="57"/>
    </row>
    <row r="18" spans="1:7" s="1" customFormat="1" ht="100" customHeight="1">
      <c r="A18" s="36" t="str">
        <f>_xlfn.DISPIMG("ID_0163D6EA06554594A80B8D10A7632AAD",1)</f>
        <v>=DISPIMG("ID_0163D6EA06554594A80B8D10A7632AAD",1)</v>
      </c>
      <c r="B18" s="43" t="s">
        <v>323</v>
      </c>
      <c r="C18" s="36"/>
      <c r="D18" s="36"/>
      <c r="E18" s="36">
        <v>40</v>
      </c>
      <c r="F18" s="36" t="s">
        <v>320</v>
      </c>
      <c r="G18" s="57"/>
    </row>
    <row r="19" spans="1:7" s="1" customFormat="1" ht="100" customHeight="1">
      <c r="A19" s="36" t="str">
        <f>_xlfn.DISPIMG("ID_CB7CFCD1E26E4043A63DC918B95D4976",1)</f>
        <v>=DISPIMG("ID_CB7CFCD1E26E4043A63DC918B95D4976",1)</v>
      </c>
      <c r="B19" s="43" t="s">
        <v>324</v>
      </c>
      <c r="C19" s="36"/>
      <c r="D19" s="36"/>
      <c r="E19" s="36">
        <v>41</v>
      </c>
      <c r="F19" s="36" t="s">
        <v>320</v>
      </c>
      <c r="G19" s="57"/>
    </row>
    <row r="20" spans="1:7" s="1" customFormat="1" ht="100" customHeight="1">
      <c r="A20" s="36" t="str">
        <f>_xlfn.DISPIMG("ID_E174AFA4CD2E48FF87AB9AE3FACA5708",1)</f>
        <v>=DISPIMG("ID_E174AFA4CD2E48FF87AB9AE3FACA5708",1)</v>
      </c>
      <c r="B20" s="43" t="s">
        <v>325</v>
      </c>
      <c r="C20" s="36"/>
      <c r="D20" s="36"/>
      <c r="E20" s="36">
        <v>44</v>
      </c>
      <c r="F20" s="36" t="s">
        <v>320</v>
      </c>
      <c r="G20" s="57"/>
    </row>
    <row r="21" spans="1:7" s="1" customFormat="1" ht="100" customHeight="1">
      <c r="A21" s="56" t="str">
        <f>_xlfn.DISPIMG("ID_7C303A800B2446318ABCBE0905A6F3C1",1)</f>
        <v>=DISPIMG("ID_7C303A800B2446318ABCBE0905A6F3C1",1)</v>
      </c>
      <c r="B21" s="71" t="s">
        <v>326</v>
      </c>
      <c r="C21" s="56"/>
      <c r="D21" s="56"/>
      <c r="E21" s="56">
        <v>5.6</v>
      </c>
      <c r="F21" s="56" t="s">
        <v>320</v>
      </c>
      <c r="G21" s="59"/>
    </row>
    <row r="22" spans="1:7" s="1" customFormat="1" ht="100" customHeight="1"/>
    <row r="23" spans="1:7" s="1" customFormat="1" ht="100" customHeight="1"/>
    <row r="24" spans="1:7" s="1" customFormat="1" ht="100" customHeight="1"/>
  </sheetData>
  <mergeCells count="5">
    <mergeCell ref="A2:G2"/>
    <mergeCell ref="A12:G12"/>
    <mergeCell ref="A14:G14"/>
    <mergeCell ref="A8:A9"/>
    <mergeCell ref="C8:C9"/>
  </mergeCells>
  <pageMargins left="0.75" right="0.75" top="1" bottom="1" header="0.5" footer="0.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R64"/>
  <sheetViews>
    <sheetView topLeftCell="A3" workbookViewId="0">
      <selection activeCell="D5" sqref="D5"/>
    </sheetView>
  </sheetViews>
  <sheetFormatPr defaultColWidth="9" defaultRowHeight="15"/>
  <cols>
    <col min="1" max="1" width="10.6328125" style="1" customWidth="1"/>
    <col min="2" max="2" width="30.6328125" style="1" customWidth="1"/>
    <col min="3" max="3" width="22.6328125" style="1" customWidth="1"/>
    <col min="4" max="4" width="22.6328125" style="61" customWidth="1"/>
    <col min="5" max="6" width="22.6328125" style="1" customWidth="1"/>
    <col min="7" max="7" width="12.6328125" style="1"/>
    <col min="8" max="16384" width="9" style="1"/>
  </cols>
  <sheetData>
    <row r="1" spans="1:10" ht="55">
      <c r="A1" s="41" t="s">
        <v>0</v>
      </c>
      <c r="B1" s="41" t="s">
        <v>125</v>
      </c>
      <c r="C1" s="41" t="s">
        <v>2</v>
      </c>
      <c r="D1" s="41" t="s">
        <v>288</v>
      </c>
      <c r="E1" s="41" t="s">
        <v>327</v>
      </c>
      <c r="F1" s="41" t="s">
        <v>289</v>
      </c>
      <c r="G1" s="163"/>
      <c r="H1" s="163"/>
      <c r="I1" s="163"/>
      <c r="J1" s="163"/>
    </row>
    <row r="2" spans="1:10" ht="100" customHeight="1">
      <c r="A2" s="36" t="str">
        <f>_xlfn.DISPIMG("ID_AB4F5D000C834025A547E060C26F4802",1)</f>
        <v>=DISPIMG("ID_AB4F5D000C834025A547E060C26F4802",1)</v>
      </c>
      <c r="B2" s="50" t="s">
        <v>328</v>
      </c>
      <c r="C2" s="36" t="s">
        <v>130</v>
      </c>
      <c r="D2" s="50"/>
      <c r="E2" s="36"/>
      <c r="F2" s="50">
        <v>3.5</v>
      </c>
      <c r="G2" s="167"/>
      <c r="H2" s="167"/>
      <c r="I2" s="167"/>
      <c r="J2" s="167"/>
    </row>
    <row r="3" spans="1:10" ht="100" customHeight="1">
      <c r="A3" s="36" t="str">
        <f>_xlfn.DISPIMG("ID_6AFCAA23312145FE8D7F8EE6A0D5CE46",1)</f>
        <v>=DISPIMG("ID_6AFCAA23312145FE8D7F8EE6A0D5CE46",1)</v>
      </c>
      <c r="B3" s="50" t="s">
        <v>329</v>
      </c>
      <c r="C3" s="36" t="s">
        <v>136</v>
      </c>
      <c r="D3" s="50"/>
      <c r="E3" s="36"/>
      <c r="F3" s="50">
        <v>4</v>
      </c>
      <c r="G3" s="167"/>
      <c r="H3" s="167"/>
      <c r="I3" s="167"/>
      <c r="J3" s="167"/>
    </row>
    <row r="4" spans="1:10" ht="33.25" customHeight="1">
      <c r="A4" s="156" t="str">
        <f>_xlfn.DISPIMG("ID_270512AEA60A484BACD32149E29E64E3",1)</f>
        <v>=DISPIMG("ID_270512AEA60A484BACD32149E29E64E3",1)</v>
      </c>
      <c r="B4" s="50" t="s">
        <v>330</v>
      </c>
      <c r="C4" s="156" t="s">
        <v>146</v>
      </c>
      <c r="D4" s="50"/>
      <c r="E4" s="36"/>
      <c r="F4" s="50">
        <v>6</v>
      </c>
    </row>
    <row r="5" spans="1:10" ht="33.25" customHeight="1">
      <c r="A5" s="156"/>
      <c r="B5" s="36" t="s">
        <v>331</v>
      </c>
      <c r="C5" s="156"/>
      <c r="D5" s="36"/>
      <c r="E5" s="36"/>
      <c r="F5" s="36">
        <v>7</v>
      </c>
    </row>
    <row r="6" spans="1:10" ht="33.25" customHeight="1">
      <c r="A6" s="156"/>
      <c r="B6" s="46" t="s">
        <v>332</v>
      </c>
      <c r="C6" s="156"/>
      <c r="D6" s="36"/>
      <c r="E6" s="36"/>
      <c r="F6" s="36">
        <v>7</v>
      </c>
    </row>
    <row r="7" spans="1:10" ht="33.25" customHeight="1">
      <c r="A7" s="156"/>
      <c r="B7" s="50" t="s">
        <v>333</v>
      </c>
      <c r="C7" s="156"/>
      <c r="D7" s="50"/>
      <c r="E7" s="36"/>
      <c r="F7" s="50">
        <v>7.5</v>
      </c>
    </row>
    <row r="8" spans="1:10" s="39" customFormat="1" ht="33.25" customHeight="1">
      <c r="A8" s="46"/>
      <c r="B8" s="46" t="s">
        <v>334</v>
      </c>
      <c r="C8" s="46" t="s">
        <v>220</v>
      </c>
      <c r="D8" s="46"/>
      <c r="E8" s="46"/>
      <c r="F8" s="46">
        <v>9</v>
      </c>
      <c r="G8" s="1"/>
    </row>
    <row r="9" spans="1:10" ht="33.25" customHeight="1">
      <c r="A9" s="145" t="str">
        <f>_xlfn.DISPIMG("ID_0068CABA57994D7EADF7A7268897882A",1)</f>
        <v>=DISPIMG("ID_0068CABA57994D7EADF7A7268897882A",1)</v>
      </c>
      <c r="B9" s="50" t="s">
        <v>335</v>
      </c>
      <c r="C9" s="145" t="s">
        <v>225</v>
      </c>
      <c r="D9" s="50"/>
      <c r="E9" s="36"/>
      <c r="F9" s="50">
        <v>7.5</v>
      </c>
    </row>
    <row r="10" spans="1:10" s="39" customFormat="1" ht="33.25" customHeight="1">
      <c r="A10" s="164"/>
      <c r="B10" s="46" t="s">
        <v>336</v>
      </c>
      <c r="C10" s="164"/>
      <c r="D10" s="46"/>
      <c r="E10" s="46"/>
      <c r="F10" s="46">
        <v>7.5</v>
      </c>
      <c r="G10" s="1"/>
    </row>
    <row r="11" spans="1:10" s="39" customFormat="1" ht="33.25" customHeight="1">
      <c r="A11" s="164"/>
      <c r="B11" s="46" t="s">
        <v>337</v>
      </c>
      <c r="C11" s="164"/>
      <c r="D11" s="46"/>
      <c r="E11" s="46"/>
      <c r="F11" s="46">
        <v>9</v>
      </c>
      <c r="G11" s="1"/>
    </row>
    <row r="12" spans="1:10" ht="33.25" customHeight="1">
      <c r="A12" s="55"/>
      <c r="B12" s="50" t="s">
        <v>338</v>
      </c>
      <c r="C12" s="55"/>
      <c r="D12" s="50"/>
      <c r="E12" s="36"/>
      <c r="F12" s="50"/>
    </row>
    <row r="13" spans="1:10" ht="33.25" customHeight="1">
      <c r="A13" s="145" t="str">
        <f>_xlfn.DISPIMG("ID_3856DEB3813548E8A0746CAFD5D02B6B",1)</f>
        <v>=DISPIMG("ID_3856DEB3813548E8A0746CAFD5D02B6B",1)</v>
      </c>
      <c r="B13" s="50" t="s">
        <v>339</v>
      </c>
      <c r="C13" s="145" t="s">
        <v>222</v>
      </c>
      <c r="D13" s="50"/>
      <c r="E13" s="36"/>
      <c r="F13" s="50">
        <v>7</v>
      </c>
    </row>
    <row r="14" spans="1:10" ht="33.25" customHeight="1">
      <c r="A14" s="146"/>
      <c r="B14" s="50" t="s">
        <v>340</v>
      </c>
      <c r="C14" s="146"/>
      <c r="D14" s="50"/>
      <c r="E14" s="36"/>
      <c r="F14" s="50">
        <v>9</v>
      </c>
    </row>
    <row r="15" spans="1:10" s="39" customFormat="1" ht="33.25" customHeight="1">
      <c r="A15" s="164"/>
      <c r="B15" s="46" t="s">
        <v>341</v>
      </c>
      <c r="C15" s="164"/>
      <c r="D15" s="46"/>
      <c r="E15" s="46"/>
      <c r="F15" s="46">
        <v>9</v>
      </c>
      <c r="G15" s="1"/>
    </row>
    <row r="16" spans="1:10" ht="33.25" customHeight="1">
      <c r="A16" s="146"/>
      <c r="B16" s="46" t="s">
        <v>342</v>
      </c>
      <c r="C16" s="154"/>
      <c r="D16" s="36"/>
      <c r="E16" s="36"/>
      <c r="F16" s="36">
        <v>8</v>
      </c>
    </row>
    <row r="17" spans="1:7" ht="33.25" customHeight="1">
      <c r="A17" s="145" t="str">
        <f>_xlfn.DISPIMG("ID_EB331D133EFF4343978B7016F8E706C7",1)</f>
        <v>=DISPIMG("ID_EB331D133EFF4343978B7016F8E706C7",1)</v>
      </c>
      <c r="B17" s="50" t="s">
        <v>343</v>
      </c>
      <c r="C17" s="145" t="s">
        <v>230</v>
      </c>
      <c r="D17" s="50"/>
      <c r="E17" s="36"/>
      <c r="F17" s="50">
        <v>8</v>
      </c>
    </row>
    <row r="18" spans="1:7" ht="33.25" customHeight="1">
      <c r="A18" s="146"/>
      <c r="B18" s="36" t="s">
        <v>344</v>
      </c>
      <c r="C18" s="146"/>
      <c r="D18" s="36"/>
      <c r="E18" s="36"/>
      <c r="F18" s="36">
        <v>8</v>
      </c>
    </row>
    <row r="19" spans="1:7" s="39" customFormat="1" ht="33.25" customHeight="1">
      <c r="A19" s="62"/>
      <c r="B19" s="46" t="s">
        <v>345</v>
      </c>
      <c r="C19" s="164"/>
      <c r="D19" s="46"/>
      <c r="E19" s="46"/>
      <c r="F19" s="46">
        <v>9</v>
      </c>
      <c r="G19" s="1"/>
    </row>
    <row r="20" spans="1:7" ht="20" customHeight="1">
      <c r="A20" s="145" t="str">
        <f>_xlfn.DISPIMG("ID_7CDAD02DDCF2485EBB43FFFFB779DF94",1)</f>
        <v>=DISPIMG("ID_7CDAD02DDCF2485EBB43FFFFB779DF94",1)</v>
      </c>
      <c r="B20" s="50" t="s">
        <v>346</v>
      </c>
      <c r="C20" s="145" t="s">
        <v>234</v>
      </c>
      <c r="D20" s="50"/>
      <c r="E20" s="36"/>
      <c r="F20" s="50">
        <v>10</v>
      </c>
    </row>
    <row r="21" spans="1:7" ht="20" customHeight="1">
      <c r="A21" s="146"/>
      <c r="B21" s="36" t="s">
        <v>347</v>
      </c>
      <c r="C21" s="154"/>
      <c r="D21" s="36"/>
      <c r="E21" s="36"/>
      <c r="F21" s="36">
        <v>10</v>
      </c>
    </row>
    <row r="22" spans="1:7" ht="20" customHeight="1">
      <c r="A22" s="146"/>
      <c r="B22" s="50" t="s">
        <v>348</v>
      </c>
      <c r="C22" s="145" t="s">
        <v>161</v>
      </c>
      <c r="D22" s="50"/>
      <c r="E22" s="36"/>
      <c r="F22" s="50">
        <v>8.5</v>
      </c>
    </row>
    <row r="23" spans="1:7" ht="20" customHeight="1">
      <c r="A23" s="146"/>
      <c r="B23" s="36" t="s">
        <v>349</v>
      </c>
      <c r="C23" s="146"/>
      <c r="D23" s="36"/>
      <c r="E23" s="36"/>
      <c r="F23" s="36">
        <v>8.5</v>
      </c>
    </row>
    <row r="24" spans="1:7" ht="20" customHeight="1">
      <c r="A24" s="146"/>
      <c r="B24" s="50" t="s">
        <v>350</v>
      </c>
      <c r="C24" s="146"/>
      <c r="D24" s="50"/>
      <c r="E24" s="36"/>
      <c r="F24" s="50">
        <v>7.5</v>
      </c>
    </row>
    <row r="25" spans="1:7" ht="20" customHeight="1">
      <c r="A25" s="146"/>
      <c r="B25" s="36" t="s">
        <v>351</v>
      </c>
      <c r="C25" s="146"/>
      <c r="D25" s="36"/>
      <c r="E25" s="36"/>
      <c r="F25" s="36">
        <v>7.5</v>
      </c>
    </row>
    <row r="26" spans="1:7" ht="20" customHeight="1">
      <c r="A26" s="154"/>
      <c r="B26" s="50" t="s">
        <v>352</v>
      </c>
      <c r="C26" s="154"/>
      <c r="D26" s="50"/>
      <c r="E26" s="36"/>
      <c r="F26" s="50">
        <v>6.5</v>
      </c>
    </row>
    <row r="27" spans="1:7" ht="20" customHeight="1">
      <c r="A27" s="145" t="str">
        <f>_xlfn.DISPIMG("ID_1D4BB569763C4111BF3492A790D5BE96",1)</f>
        <v>=DISPIMG("ID_1D4BB569763C4111BF3492A790D5BE96",1)</v>
      </c>
      <c r="B27" s="50" t="s">
        <v>353</v>
      </c>
      <c r="C27" s="145" t="s">
        <v>236</v>
      </c>
      <c r="D27" s="50"/>
      <c r="E27" s="36"/>
      <c r="F27" s="50">
        <v>10</v>
      </c>
    </row>
    <row r="28" spans="1:7" ht="20" customHeight="1">
      <c r="A28" s="146"/>
      <c r="B28" s="50" t="s">
        <v>354</v>
      </c>
      <c r="C28" s="146"/>
      <c r="D28" s="50"/>
      <c r="E28" s="36"/>
      <c r="F28" s="50">
        <v>8</v>
      </c>
    </row>
    <row r="29" spans="1:7" ht="20" customHeight="1">
      <c r="A29" s="146"/>
      <c r="B29" s="46" t="s">
        <v>355</v>
      </c>
      <c r="C29" s="146"/>
      <c r="D29" s="36"/>
      <c r="E29" s="36"/>
      <c r="F29" s="36">
        <v>10</v>
      </c>
    </row>
    <row r="30" spans="1:7" ht="20" customHeight="1">
      <c r="A30" s="146"/>
      <c r="B30" s="46" t="s">
        <v>356</v>
      </c>
      <c r="C30" s="146"/>
      <c r="D30" s="36"/>
      <c r="E30" s="36"/>
      <c r="F30" s="36">
        <v>8.5</v>
      </c>
    </row>
    <row r="31" spans="1:7" ht="20" customHeight="1">
      <c r="A31" s="146"/>
      <c r="B31" s="46" t="s">
        <v>357</v>
      </c>
      <c r="C31" s="146"/>
      <c r="D31" s="36"/>
      <c r="E31" s="36"/>
      <c r="F31" s="36">
        <v>7</v>
      </c>
    </row>
    <row r="32" spans="1:7" s="39" customFormat="1" ht="20" customHeight="1">
      <c r="A32" s="164"/>
      <c r="B32" s="46" t="s">
        <v>358</v>
      </c>
      <c r="C32" s="146"/>
      <c r="D32" s="46"/>
      <c r="E32" s="46"/>
      <c r="F32" s="46">
        <v>9</v>
      </c>
      <c r="G32" s="1"/>
    </row>
    <row r="33" spans="1:44" s="39" customFormat="1" ht="20" customHeight="1">
      <c r="A33" s="164"/>
      <c r="B33" s="44" t="s">
        <v>359</v>
      </c>
      <c r="C33" s="146"/>
      <c r="D33" s="44"/>
      <c r="E33" s="44"/>
      <c r="F33" s="44">
        <v>10</v>
      </c>
      <c r="G33" s="1"/>
    </row>
    <row r="34" spans="1:44" s="60" customFormat="1" ht="50" customHeight="1">
      <c r="A34" s="46"/>
      <c r="B34" s="46" t="s">
        <v>360</v>
      </c>
      <c r="C34" s="36" t="s">
        <v>239</v>
      </c>
      <c r="D34" s="46"/>
      <c r="E34" s="46"/>
      <c r="F34" s="46">
        <v>11</v>
      </c>
      <c r="G34" s="1"/>
      <c r="H34" s="39"/>
      <c r="I34" s="39"/>
      <c r="J34" s="39"/>
      <c r="K34" s="39"/>
      <c r="L34" s="39"/>
      <c r="M34" s="39"/>
      <c r="N34" s="39"/>
      <c r="O34" s="39"/>
      <c r="P34" s="39"/>
      <c r="Q34" s="39"/>
      <c r="R34" s="39"/>
      <c r="S34" s="39"/>
      <c r="T34" s="39"/>
      <c r="U34" s="39"/>
      <c r="V34" s="39"/>
      <c r="W34" s="39"/>
      <c r="X34" s="39"/>
      <c r="Y34" s="39"/>
      <c r="Z34" s="39"/>
      <c r="AA34" s="39"/>
      <c r="AB34" s="39"/>
      <c r="AC34" s="39"/>
      <c r="AD34" s="39"/>
      <c r="AE34" s="39"/>
      <c r="AF34" s="39"/>
      <c r="AG34" s="39"/>
      <c r="AH34" s="39"/>
      <c r="AI34" s="39"/>
      <c r="AJ34" s="39"/>
      <c r="AK34" s="39"/>
      <c r="AL34" s="39"/>
      <c r="AM34" s="39"/>
      <c r="AN34" s="39"/>
      <c r="AO34" s="39"/>
      <c r="AP34" s="39"/>
      <c r="AQ34" s="39"/>
      <c r="AR34" s="69"/>
    </row>
    <row r="35" spans="1:44" ht="20" customHeight="1">
      <c r="A35" s="146" t="str">
        <f>_xlfn.DISPIMG("ID_2BEAF4EEAED64F858D08A25931EAE75C",1)</f>
        <v>=DISPIMG("ID_2BEAF4EEAED64F858D08A25931EAE75C",1)</v>
      </c>
      <c r="B35" s="63" t="s">
        <v>361</v>
      </c>
      <c r="C35" s="146" t="s">
        <v>242</v>
      </c>
      <c r="D35" s="63"/>
      <c r="E35" s="48"/>
      <c r="F35" s="63">
        <v>13</v>
      </c>
    </row>
    <row r="36" spans="1:44" ht="20" customHeight="1">
      <c r="A36" s="146"/>
      <c r="B36" s="36" t="s">
        <v>362</v>
      </c>
      <c r="C36" s="146"/>
      <c r="D36" s="64"/>
      <c r="E36" s="36"/>
      <c r="F36" s="36">
        <v>12</v>
      </c>
    </row>
    <row r="37" spans="1:44" ht="20" customHeight="1">
      <c r="A37" s="146"/>
      <c r="B37" s="36" t="s">
        <v>363</v>
      </c>
      <c r="C37" s="146"/>
      <c r="D37" s="64"/>
      <c r="E37" s="36"/>
      <c r="F37" s="36">
        <v>10.5</v>
      </c>
    </row>
    <row r="38" spans="1:44" ht="20" customHeight="1">
      <c r="A38" s="146"/>
      <c r="B38" s="36" t="s">
        <v>364</v>
      </c>
      <c r="C38" s="146"/>
      <c r="D38" s="64"/>
      <c r="E38" s="36"/>
      <c r="F38" s="36">
        <v>9</v>
      </c>
    </row>
    <row r="39" spans="1:44" s="39" customFormat="1" ht="20" customHeight="1">
      <c r="A39" s="146"/>
      <c r="B39" s="46" t="s">
        <v>365</v>
      </c>
      <c r="C39" s="146"/>
      <c r="D39" s="46"/>
      <c r="E39" s="46"/>
      <c r="F39" s="46">
        <v>12</v>
      </c>
      <c r="G39" s="1"/>
    </row>
    <row r="40" spans="1:44" s="39" customFormat="1" ht="20" customHeight="1">
      <c r="A40" s="62"/>
      <c r="B40" s="46" t="s">
        <v>366</v>
      </c>
      <c r="C40" s="146"/>
      <c r="D40" s="46"/>
      <c r="E40" s="46"/>
      <c r="F40" s="46">
        <v>13</v>
      </c>
      <c r="G40" s="1"/>
    </row>
    <row r="41" spans="1:44" ht="20" customHeight="1">
      <c r="A41" s="145" t="str">
        <f>_xlfn.DISPIMG("ID_BACA2D5CE81D4F4CAFD38A5634FC520E",1)</f>
        <v>=DISPIMG("ID_BACA2D5CE81D4F4CAFD38A5634FC520E",1)</v>
      </c>
      <c r="B41" s="50" t="s">
        <v>367</v>
      </c>
      <c r="C41" s="145" t="s">
        <v>246</v>
      </c>
      <c r="D41" s="50"/>
      <c r="E41" s="36"/>
      <c r="F41" s="50">
        <v>13</v>
      </c>
    </row>
    <row r="42" spans="1:44" ht="20" customHeight="1">
      <c r="A42" s="146"/>
      <c r="B42" s="50" t="s">
        <v>368</v>
      </c>
      <c r="C42" s="146"/>
      <c r="D42" s="50"/>
      <c r="E42" s="36"/>
      <c r="F42" s="50">
        <v>11</v>
      </c>
    </row>
    <row r="43" spans="1:44" ht="20" customHeight="1">
      <c r="A43" s="146"/>
      <c r="B43" s="36" t="s">
        <v>369</v>
      </c>
      <c r="C43" s="146"/>
      <c r="D43" s="36"/>
      <c r="E43" s="36"/>
      <c r="F43" s="36">
        <v>12</v>
      </c>
    </row>
    <row r="44" spans="1:44" ht="20" customHeight="1">
      <c r="A44" s="146"/>
      <c r="B44" s="36" t="s">
        <v>370</v>
      </c>
      <c r="C44" s="146"/>
      <c r="D44" s="36"/>
      <c r="E44" s="36"/>
      <c r="F44" s="36">
        <v>10.5</v>
      </c>
    </row>
    <row r="45" spans="1:44" ht="20" customHeight="1">
      <c r="A45" s="146"/>
      <c r="B45" s="36" t="s">
        <v>371</v>
      </c>
      <c r="C45" s="146"/>
      <c r="D45" s="36"/>
      <c r="E45" s="36"/>
      <c r="F45" s="36">
        <v>9</v>
      </c>
    </row>
    <row r="46" spans="1:44" s="39" customFormat="1" ht="20" customHeight="1">
      <c r="A46" s="164"/>
      <c r="B46" s="46" t="s">
        <v>372</v>
      </c>
      <c r="C46" s="146"/>
      <c r="D46" s="46"/>
      <c r="E46" s="46"/>
      <c r="F46" s="46">
        <v>12</v>
      </c>
      <c r="G46" s="1"/>
    </row>
    <row r="47" spans="1:44" s="39" customFormat="1" ht="20" customHeight="1">
      <c r="A47" s="165"/>
      <c r="B47" s="46" t="s">
        <v>373</v>
      </c>
      <c r="C47" s="154"/>
      <c r="D47" s="46"/>
      <c r="E47" s="46"/>
      <c r="F47" s="46">
        <v>13</v>
      </c>
      <c r="G47" s="1"/>
    </row>
    <row r="48" spans="1:44" s="39" customFormat="1" ht="50" customHeight="1">
      <c r="A48" s="65"/>
      <c r="B48" s="46" t="s">
        <v>374</v>
      </c>
      <c r="C48" s="48" t="s">
        <v>375</v>
      </c>
      <c r="D48" s="46"/>
      <c r="E48" s="46"/>
      <c r="F48" s="46">
        <v>13</v>
      </c>
      <c r="G48" s="1"/>
    </row>
    <row r="49" spans="1:7" ht="100" customHeight="1">
      <c r="A49" s="36" t="str">
        <f>_xlfn.DISPIMG("ID_AEAB30D43D7C42C09F819DA04900A444",1)</f>
        <v>=DISPIMG("ID_AEAB30D43D7C42C09F819DA04900A444",1)</v>
      </c>
      <c r="B49" s="50" t="s">
        <v>376</v>
      </c>
      <c r="C49" s="36" t="s">
        <v>253</v>
      </c>
      <c r="D49" s="50"/>
      <c r="E49" s="36"/>
      <c r="F49" s="50">
        <v>14</v>
      </c>
    </row>
    <row r="50" spans="1:7" ht="50" customHeight="1">
      <c r="A50" s="156" t="str">
        <f>_xlfn.DISPIMG("ID_7028C10FB76349268A94A86A54331EAD",1)</f>
        <v>=DISPIMG("ID_7028C10FB76349268A94A86A54331EAD",1)</v>
      </c>
      <c r="B50" s="50" t="s">
        <v>377</v>
      </c>
      <c r="C50" s="156" t="s">
        <v>255</v>
      </c>
      <c r="D50" s="50"/>
      <c r="E50" s="36"/>
      <c r="F50" s="50">
        <v>16</v>
      </c>
    </row>
    <row r="51" spans="1:7" s="39" customFormat="1" ht="50" customHeight="1">
      <c r="A51" s="166"/>
      <c r="B51" s="46" t="s">
        <v>378</v>
      </c>
      <c r="C51" s="166"/>
      <c r="D51" s="46"/>
      <c r="E51" s="46"/>
      <c r="F51" s="46">
        <v>16</v>
      </c>
      <c r="G51" s="1"/>
    </row>
    <row r="52" spans="1:7" ht="50" customHeight="1">
      <c r="A52" s="156"/>
      <c r="B52" s="36" t="s">
        <v>379</v>
      </c>
      <c r="C52" s="156"/>
      <c r="D52" s="36"/>
      <c r="E52" s="36"/>
      <c r="F52" s="36">
        <v>16</v>
      </c>
    </row>
    <row r="53" spans="1:7" ht="50" customHeight="1">
      <c r="A53" s="66"/>
      <c r="B53" s="67" t="s">
        <v>380</v>
      </c>
      <c r="C53" s="67" t="s">
        <v>381</v>
      </c>
      <c r="D53" s="36" t="s">
        <v>382</v>
      </c>
      <c r="E53" s="66"/>
      <c r="F53" s="68">
        <v>20</v>
      </c>
    </row>
    <row r="54" spans="1:7" ht="50" customHeight="1">
      <c r="A54" s="66"/>
      <c r="B54" s="67" t="s">
        <v>383</v>
      </c>
      <c r="C54" s="67" t="s">
        <v>384</v>
      </c>
      <c r="D54" s="36" t="s">
        <v>382</v>
      </c>
      <c r="E54" s="66"/>
      <c r="F54" s="68">
        <v>20</v>
      </c>
    </row>
    <row r="55" spans="1:7" ht="50" customHeight="1">
      <c r="A55" s="66"/>
      <c r="B55" s="67" t="s">
        <v>385</v>
      </c>
      <c r="C55" s="67" t="s">
        <v>386</v>
      </c>
      <c r="D55" s="36" t="s">
        <v>382</v>
      </c>
      <c r="E55" s="66"/>
      <c r="F55" s="68">
        <v>21</v>
      </c>
    </row>
    <row r="56" spans="1:7" ht="50" customHeight="1">
      <c r="A56" s="66"/>
      <c r="B56" s="67" t="s">
        <v>387</v>
      </c>
      <c r="C56" s="67" t="s">
        <v>388</v>
      </c>
      <c r="D56" s="36" t="s">
        <v>382</v>
      </c>
      <c r="E56" s="66"/>
      <c r="F56" s="68">
        <v>23</v>
      </c>
    </row>
    <row r="57" spans="1:7" ht="50" customHeight="1">
      <c r="A57" s="66"/>
      <c r="B57" s="67" t="s">
        <v>389</v>
      </c>
      <c r="C57" s="67" t="s">
        <v>390</v>
      </c>
      <c r="D57" s="36" t="s">
        <v>382</v>
      </c>
      <c r="E57" s="66"/>
      <c r="F57" s="68">
        <v>23</v>
      </c>
    </row>
    <row r="58" spans="1:7" ht="50" customHeight="1">
      <c r="A58" s="66"/>
      <c r="B58" s="67" t="s">
        <v>391</v>
      </c>
      <c r="C58" s="67" t="s">
        <v>392</v>
      </c>
      <c r="D58" s="36" t="s">
        <v>382</v>
      </c>
      <c r="E58" s="66"/>
      <c r="F58" s="68">
        <v>26</v>
      </c>
    </row>
    <row r="59" spans="1:7" ht="50" customHeight="1">
      <c r="A59" s="66"/>
      <c r="B59" s="67" t="s">
        <v>393</v>
      </c>
      <c r="C59" s="67" t="s">
        <v>394</v>
      </c>
      <c r="D59" s="36" t="s">
        <v>382</v>
      </c>
      <c r="E59" s="66"/>
      <c r="F59" s="68" t="s">
        <v>395</v>
      </c>
    </row>
    <row r="60" spans="1:7" ht="50" customHeight="1">
      <c r="A60" s="66"/>
      <c r="B60" s="67" t="s">
        <v>396</v>
      </c>
      <c r="C60" s="67" t="s">
        <v>397</v>
      </c>
      <c r="D60" s="36" t="s">
        <v>382</v>
      </c>
      <c r="E60" s="66"/>
      <c r="F60" s="68" t="s">
        <v>398</v>
      </c>
    </row>
    <row r="61" spans="1:7" ht="50" customHeight="1">
      <c r="A61" s="66"/>
      <c r="B61" s="67" t="s">
        <v>399</v>
      </c>
      <c r="C61" s="67" t="s">
        <v>400</v>
      </c>
      <c r="D61" s="36" t="s">
        <v>382</v>
      </c>
      <c r="E61" s="66"/>
      <c r="F61" s="68" t="s">
        <v>401</v>
      </c>
    </row>
    <row r="62" spans="1:7" ht="50" customHeight="1">
      <c r="A62" s="66"/>
      <c r="B62" s="67" t="s">
        <v>402</v>
      </c>
      <c r="C62" s="67" t="s">
        <v>403</v>
      </c>
      <c r="D62" s="36" t="s">
        <v>382</v>
      </c>
      <c r="E62" s="66"/>
      <c r="F62" s="68" t="s">
        <v>404</v>
      </c>
    </row>
    <row r="63" spans="1:7" ht="50" customHeight="1">
      <c r="A63" s="66"/>
      <c r="B63" s="67" t="s">
        <v>405</v>
      </c>
      <c r="C63" s="67" t="s">
        <v>406</v>
      </c>
      <c r="D63" s="36" t="s">
        <v>382</v>
      </c>
      <c r="E63" s="66"/>
      <c r="F63" s="68" t="s">
        <v>407</v>
      </c>
    </row>
    <row r="64" spans="1:7" ht="50" customHeight="1">
      <c r="A64" s="66"/>
      <c r="B64" s="67" t="s">
        <v>408</v>
      </c>
      <c r="C64" s="67" t="s">
        <v>409</v>
      </c>
      <c r="D64" s="36" t="s">
        <v>382</v>
      </c>
      <c r="E64" s="66"/>
      <c r="F64" s="68" t="s">
        <v>410</v>
      </c>
    </row>
  </sheetData>
  <mergeCells count="21">
    <mergeCell ref="C50:C52"/>
    <mergeCell ref="G2:J3"/>
    <mergeCell ref="C20:C21"/>
    <mergeCell ref="C22:C26"/>
    <mergeCell ref="C27:C33"/>
    <mergeCell ref="C35:C40"/>
    <mergeCell ref="C41:C47"/>
    <mergeCell ref="A20:A26"/>
    <mergeCell ref="A27:A33"/>
    <mergeCell ref="A35:A39"/>
    <mergeCell ref="A41:A47"/>
    <mergeCell ref="A50:A52"/>
    <mergeCell ref="G1:J1"/>
    <mergeCell ref="A4:A7"/>
    <mergeCell ref="A9:A11"/>
    <mergeCell ref="A13:A16"/>
    <mergeCell ref="A17:A18"/>
    <mergeCell ref="C4:C7"/>
    <mergeCell ref="C9:C11"/>
    <mergeCell ref="C13:C16"/>
    <mergeCell ref="C17:C19"/>
  </mergeCells>
  <pageMargins left="0.75" right="0.75" top="1" bottom="1" header="0.5" footer="0.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XFB31"/>
  <sheetViews>
    <sheetView topLeftCell="A14" workbookViewId="0">
      <selection activeCell="G1" sqref="G1:G1048576"/>
    </sheetView>
  </sheetViews>
  <sheetFormatPr defaultColWidth="9" defaultRowHeight="15"/>
  <cols>
    <col min="1" max="1" width="10.6328125" style="1" customWidth="1"/>
    <col min="2" max="2" width="30.6328125" style="2" customWidth="1"/>
    <col min="3" max="5" width="22.6328125" style="1" customWidth="1"/>
    <col min="6" max="6" width="22.6328125" style="40" customWidth="1"/>
    <col min="7" max="7" width="22.6328125" style="1" customWidth="1"/>
    <col min="8" max="17" width="10.6328125" style="1" customWidth="1"/>
    <col min="18" max="16382" width="9" style="1"/>
  </cols>
  <sheetData>
    <row r="1" spans="1:17" s="1" customFormat="1" ht="60" customHeight="1">
      <c r="A1" s="41" t="s">
        <v>0</v>
      </c>
      <c r="B1" s="41" t="s">
        <v>125</v>
      </c>
      <c r="C1" s="41" t="s">
        <v>2</v>
      </c>
      <c r="D1" s="41" t="s">
        <v>411</v>
      </c>
      <c r="E1" s="41" t="s">
        <v>327</v>
      </c>
      <c r="F1" s="42" t="s">
        <v>175</v>
      </c>
      <c r="G1" s="41" t="s">
        <v>290</v>
      </c>
      <c r="H1" s="43" t="s">
        <v>412</v>
      </c>
      <c r="I1" s="36" t="s">
        <v>413</v>
      </c>
      <c r="J1" s="36" t="s">
        <v>414</v>
      </c>
      <c r="K1" s="36" t="s">
        <v>415</v>
      </c>
      <c r="L1" s="36" t="s">
        <v>416</v>
      </c>
      <c r="M1" s="36" t="s">
        <v>417</v>
      </c>
      <c r="N1" s="36" t="s">
        <v>418</v>
      </c>
      <c r="O1" s="36" t="s">
        <v>419</v>
      </c>
      <c r="P1" s="36" t="s">
        <v>420</v>
      </c>
      <c r="Q1" s="57" t="s">
        <v>421</v>
      </c>
    </row>
    <row r="2" spans="1:17" s="39" customFormat="1" ht="60" customHeight="1">
      <c r="A2" s="168" t="str">
        <f>_xlfn.DISPIMG("ID_F1E68E31503E4742A675C698617D6A89",1)</f>
        <v>=DISPIMG("ID_F1E68E31503E4742A675C698617D6A89",1)</v>
      </c>
      <c r="B2" s="45" t="s">
        <v>422</v>
      </c>
      <c r="C2" s="168" t="s">
        <v>423</v>
      </c>
      <c r="D2" s="46"/>
      <c r="E2" s="46">
        <v>20</v>
      </c>
      <c r="F2" s="46">
        <v>0.6</v>
      </c>
      <c r="G2" s="47" t="s">
        <v>424</v>
      </c>
      <c r="H2" s="46">
        <v>6.0000000000000001E-3</v>
      </c>
      <c r="I2" s="46">
        <v>0.01</v>
      </c>
      <c r="J2" s="46">
        <v>0.13</v>
      </c>
      <c r="K2" s="46">
        <v>0.17</v>
      </c>
      <c r="L2" s="46">
        <v>0.21</v>
      </c>
      <c r="M2" s="46">
        <v>0.25</v>
      </c>
      <c r="N2" s="46">
        <v>0.28999999999999998</v>
      </c>
      <c r="O2" s="46">
        <v>0.32</v>
      </c>
      <c r="P2" s="46">
        <v>0.36</v>
      </c>
      <c r="Q2" s="58">
        <v>0.4</v>
      </c>
    </row>
    <row r="3" spans="1:17" s="1" customFormat="1" ht="60" customHeight="1">
      <c r="A3" s="154"/>
      <c r="B3" s="49" t="s">
        <v>425</v>
      </c>
      <c r="C3" s="154"/>
      <c r="D3" s="36"/>
      <c r="E3" s="50"/>
      <c r="F3" s="51">
        <v>0.56999999999999995</v>
      </c>
      <c r="G3" s="52" t="s">
        <v>424</v>
      </c>
      <c r="H3" s="46">
        <v>6.0000000000000001E-3</v>
      </c>
      <c r="I3" s="46">
        <v>0.01</v>
      </c>
      <c r="J3" s="46">
        <v>0.13</v>
      </c>
      <c r="K3" s="46">
        <v>0.17</v>
      </c>
      <c r="L3" s="46">
        <v>0.21</v>
      </c>
      <c r="M3" s="46">
        <v>0.25</v>
      </c>
      <c r="N3" s="46">
        <v>0.28999999999999998</v>
      </c>
      <c r="O3" s="46">
        <v>0.32</v>
      </c>
      <c r="P3" s="46">
        <v>0.36</v>
      </c>
      <c r="Q3" s="58">
        <v>0.4</v>
      </c>
    </row>
    <row r="4" spans="1:17" s="1" customFormat="1" ht="60" customHeight="1">
      <c r="A4" s="36" t="str">
        <f>_xlfn.DISPIMG("ID_776C7B94EC7D4405B35487042D7DB410",1)</f>
        <v>=DISPIMG("ID_776C7B94EC7D4405B35487042D7DB410",1)</v>
      </c>
      <c r="B4" s="49" t="s">
        <v>426</v>
      </c>
      <c r="C4" s="36" t="s">
        <v>427</v>
      </c>
      <c r="D4" s="36"/>
      <c r="E4" s="50">
        <v>40</v>
      </c>
      <c r="F4" s="51">
        <v>1.1599999999999999</v>
      </c>
      <c r="G4" s="52" t="s">
        <v>424</v>
      </c>
      <c r="H4" s="36">
        <v>1.6E-2</v>
      </c>
      <c r="I4" s="36">
        <v>2.1000000000000001E-2</v>
      </c>
      <c r="J4" s="36">
        <v>2.5999999999999999E-2</v>
      </c>
      <c r="K4" s="36">
        <v>3.1E-2</v>
      </c>
      <c r="L4" s="36">
        <v>3.5999999999999997E-2</v>
      </c>
      <c r="M4" s="36">
        <v>4.2000000000000003E-2</v>
      </c>
      <c r="N4" s="36">
        <v>4.7E-2</v>
      </c>
      <c r="O4" s="36">
        <v>5.1999999999999998E-2</v>
      </c>
      <c r="P4" s="36">
        <v>5.7000000000000002E-2</v>
      </c>
      <c r="Q4" s="57">
        <v>0.06</v>
      </c>
    </row>
    <row r="5" spans="1:17" s="1" customFormat="1" ht="60" customHeight="1">
      <c r="A5" s="36" t="str">
        <f>_xlfn.DISPIMG("ID_023035CAF5574131B89F58EC93650C56",1)</f>
        <v>=DISPIMG("ID_023035CAF5574131B89F58EC93650C56",1)</v>
      </c>
      <c r="B5" s="49" t="s">
        <v>428</v>
      </c>
      <c r="C5" s="36" t="s">
        <v>429</v>
      </c>
      <c r="D5" s="36"/>
      <c r="E5" s="50">
        <v>42</v>
      </c>
      <c r="F5" s="51">
        <v>1.8</v>
      </c>
      <c r="G5" s="52" t="s">
        <v>424</v>
      </c>
      <c r="H5" s="36">
        <v>1.7000000000000001E-2</v>
      </c>
      <c r="I5" s="36">
        <v>3.4000000000000002E-2</v>
      </c>
      <c r="J5" s="36">
        <v>5.0999999999999997E-2</v>
      </c>
      <c r="K5" s="36">
        <v>6.8000000000000005E-2</v>
      </c>
      <c r="L5" s="36">
        <v>8.5000000000000006E-2</v>
      </c>
      <c r="M5" s="36">
        <v>0.10199999999999999</v>
      </c>
      <c r="N5" s="36">
        <v>0.11899999999999999</v>
      </c>
      <c r="O5" s="36">
        <v>0.13</v>
      </c>
      <c r="P5" s="36">
        <v>0.15</v>
      </c>
      <c r="Q5" s="57">
        <v>0.17</v>
      </c>
    </row>
    <row r="6" spans="1:17" s="39" customFormat="1" ht="60" customHeight="1">
      <c r="A6" s="168" t="str">
        <f>_xlfn.DISPIMG("ID_B5C3CF16AC734333855C6467A4C9F0EE",1)</f>
        <v>=DISPIMG("ID_B5C3CF16AC734333855C6467A4C9F0EE",1)</v>
      </c>
      <c r="B6" s="45" t="s">
        <v>430</v>
      </c>
      <c r="C6" s="168" t="s">
        <v>431</v>
      </c>
      <c r="D6" s="46">
        <v>12</v>
      </c>
      <c r="E6" s="46">
        <v>40</v>
      </c>
      <c r="F6" s="46">
        <v>1.78</v>
      </c>
      <c r="G6" s="47" t="s">
        <v>432</v>
      </c>
      <c r="H6" s="36">
        <v>2.8000000000000001E-2</v>
      </c>
      <c r="I6" s="36">
        <v>5.1999999999999998E-2</v>
      </c>
      <c r="J6" s="36">
        <v>7.5999999999999998E-2</v>
      </c>
      <c r="K6" s="36">
        <v>9.9000000000000005E-2</v>
      </c>
      <c r="L6" s="36">
        <v>0.12</v>
      </c>
      <c r="M6" s="36">
        <v>0.14000000000000001</v>
      </c>
      <c r="N6" s="36">
        <v>0.17</v>
      </c>
      <c r="O6" s="36">
        <v>0.19</v>
      </c>
      <c r="P6" s="36">
        <v>0.21</v>
      </c>
      <c r="Q6" s="57">
        <v>0.24</v>
      </c>
    </row>
    <row r="7" spans="1:17" s="1" customFormat="1" ht="60" customHeight="1">
      <c r="A7" s="154"/>
      <c r="B7" s="49" t="s">
        <v>433</v>
      </c>
      <c r="C7" s="154"/>
      <c r="D7" s="36"/>
      <c r="E7" s="50"/>
      <c r="F7" s="51">
        <v>1.9</v>
      </c>
      <c r="G7" s="52" t="s">
        <v>432</v>
      </c>
      <c r="H7" s="36">
        <v>2.8000000000000001E-2</v>
      </c>
      <c r="I7" s="36">
        <v>5.1999999999999998E-2</v>
      </c>
      <c r="J7" s="36">
        <v>7.5999999999999998E-2</v>
      </c>
      <c r="K7" s="36">
        <v>9.9000000000000005E-2</v>
      </c>
      <c r="L7" s="36">
        <v>0.12</v>
      </c>
      <c r="M7" s="36">
        <v>0.14000000000000001</v>
      </c>
      <c r="N7" s="36">
        <v>0.17</v>
      </c>
      <c r="O7" s="36">
        <v>0.19</v>
      </c>
      <c r="P7" s="36">
        <v>0.21</v>
      </c>
      <c r="Q7" s="57">
        <v>0.24</v>
      </c>
    </row>
    <row r="8" spans="1:17" s="1" customFormat="1" ht="60" customHeight="1">
      <c r="A8" s="36" t="str">
        <f>_xlfn.DISPIMG("ID_E6E0284C4A99455A8D6D41A7B437645A",1)</f>
        <v>=DISPIMG("ID_E6E0284C4A99455A8D6D41A7B437645A",1)</v>
      </c>
      <c r="B8" s="49" t="s">
        <v>434</v>
      </c>
      <c r="C8" s="36" t="s">
        <v>435</v>
      </c>
      <c r="D8" s="36"/>
      <c r="E8" s="50"/>
      <c r="F8" s="51">
        <v>3</v>
      </c>
      <c r="G8" s="52" t="s">
        <v>424</v>
      </c>
      <c r="H8" s="36">
        <v>5.3999999999999999E-2</v>
      </c>
      <c r="I8" s="36">
        <v>7.1999999999999995E-2</v>
      </c>
      <c r="J8" s="36">
        <v>9.0999999999999998E-2</v>
      </c>
      <c r="K8" s="36">
        <v>0.11</v>
      </c>
      <c r="L8" s="36">
        <v>0.128</v>
      </c>
      <c r="M8" s="36">
        <v>0.14000000000000001</v>
      </c>
      <c r="N8" s="36">
        <v>0.16</v>
      </c>
      <c r="O8" s="36">
        <v>0.18</v>
      </c>
      <c r="P8" s="36">
        <v>0.2</v>
      </c>
      <c r="Q8" s="57">
        <v>0.22</v>
      </c>
    </row>
    <row r="9" spans="1:17" s="39" customFormat="1" ht="60" customHeight="1">
      <c r="A9" s="168" t="str">
        <f>_xlfn.DISPIMG("ID_931A853C62A54C38A3FC5B4849279415",1)</f>
        <v>=DISPIMG("ID_931A853C62A54C38A3FC5B4849279415",1)</v>
      </c>
      <c r="B9" s="49" t="s">
        <v>436</v>
      </c>
      <c r="C9" s="168" t="s">
        <v>437</v>
      </c>
      <c r="D9" s="46">
        <v>25</v>
      </c>
      <c r="E9" s="50">
        <v>75</v>
      </c>
      <c r="F9" s="46">
        <v>4.9000000000000004</v>
      </c>
      <c r="G9" s="47" t="s">
        <v>432</v>
      </c>
      <c r="H9" s="36">
        <v>0.06</v>
      </c>
      <c r="I9" s="36">
        <v>0.1</v>
      </c>
      <c r="J9" s="36">
        <v>0.13</v>
      </c>
      <c r="K9" s="36">
        <v>0.17</v>
      </c>
      <c r="L9" s="36">
        <v>0.21</v>
      </c>
      <c r="M9" s="36">
        <v>0.25</v>
      </c>
      <c r="N9" s="36">
        <v>0.28000000000000003</v>
      </c>
      <c r="O9" s="36">
        <v>0.32</v>
      </c>
      <c r="P9" s="36">
        <v>0.36</v>
      </c>
      <c r="Q9" s="57">
        <v>0.39</v>
      </c>
    </row>
    <row r="10" spans="1:17" s="1" customFormat="1" ht="60" customHeight="1">
      <c r="A10" s="146"/>
      <c r="B10" s="45" t="s">
        <v>438</v>
      </c>
      <c r="C10" s="146"/>
      <c r="D10" s="36"/>
      <c r="E10" s="46"/>
      <c r="F10" s="51">
        <v>4.5999999999999996</v>
      </c>
      <c r="G10" s="52" t="s">
        <v>432</v>
      </c>
      <c r="H10" s="36">
        <v>0.06</v>
      </c>
      <c r="I10" s="36">
        <v>0.1</v>
      </c>
      <c r="J10" s="36">
        <v>0.13</v>
      </c>
      <c r="K10" s="36">
        <v>0.17</v>
      </c>
      <c r="L10" s="36">
        <v>0.21</v>
      </c>
      <c r="M10" s="36">
        <v>0.25</v>
      </c>
      <c r="N10" s="36">
        <v>0.28000000000000003</v>
      </c>
      <c r="O10" s="36">
        <v>0.32</v>
      </c>
      <c r="P10" s="36">
        <v>0.36</v>
      </c>
      <c r="Q10" s="57">
        <v>0.39</v>
      </c>
    </row>
    <row r="11" spans="1:17" s="39" customFormat="1" ht="60" customHeight="1">
      <c r="A11" s="168" t="str">
        <f>_xlfn.DISPIMG("ID_56D5AA2CD170464CB33A90F2227C0594",1)</f>
        <v>=DISPIMG("ID_56D5AA2CD170464CB33A90F2227C0594",1)</v>
      </c>
      <c r="B11" s="49" t="s">
        <v>439</v>
      </c>
      <c r="C11" s="168" t="s">
        <v>440</v>
      </c>
      <c r="D11" s="46">
        <v>20</v>
      </c>
      <c r="E11" s="50">
        <v>95</v>
      </c>
      <c r="F11" s="46">
        <v>6.28</v>
      </c>
      <c r="G11" s="47" t="s">
        <v>432</v>
      </c>
      <c r="H11" s="36">
        <v>0.08</v>
      </c>
      <c r="I11" s="36">
        <v>0.16</v>
      </c>
      <c r="J11" s="36">
        <v>0.24</v>
      </c>
      <c r="K11" s="36">
        <v>0.32</v>
      </c>
      <c r="L11" s="36">
        <v>0.4</v>
      </c>
      <c r="M11" s="36">
        <v>0.48</v>
      </c>
      <c r="N11" s="36">
        <v>0.56000000000000005</v>
      </c>
      <c r="O11" s="36">
        <v>0.64</v>
      </c>
      <c r="P11" s="36">
        <v>0.72</v>
      </c>
      <c r="Q11" s="57">
        <v>0.8</v>
      </c>
    </row>
    <row r="12" spans="1:17" s="1" customFormat="1" ht="60" customHeight="1">
      <c r="A12" s="154"/>
      <c r="B12" s="45" t="s">
        <v>441</v>
      </c>
      <c r="C12" s="154"/>
      <c r="D12" s="36"/>
      <c r="E12" s="46"/>
      <c r="F12" s="51">
        <v>5.8</v>
      </c>
      <c r="G12" s="52" t="s">
        <v>432</v>
      </c>
      <c r="H12" s="36">
        <v>0.08</v>
      </c>
      <c r="I12" s="36">
        <v>0.16</v>
      </c>
      <c r="J12" s="36">
        <v>0.24</v>
      </c>
      <c r="K12" s="36">
        <v>0.32</v>
      </c>
      <c r="L12" s="36">
        <v>0.4</v>
      </c>
      <c r="M12" s="36">
        <v>0.48</v>
      </c>
      <c r="N12" s="36">
        <v>0.56000000000000005</v>
      </c>
      <c r="O12" s="36">
        <v>0.64</v>
      </c>
      <c r="P12" s="36">
        <v>0.72</v>
      </c>
      <c r="Q12" s="57">
        <v>0.8</v>
      </c>
    </row>
    <row r="13" spans="1:17" s="1" customFormat="1" ht="60" customHeight="1">
      <c r="A13" s="36" t="str">
        <f>_xlfn.DISPIMG("ID_0E2D18FC394C4D9DADEA0EC3597015DA",1)</f>
        <v>=DISPIMG("ID_0E2D18FC394C4D9DADEA0EC3597015DA",1)</v>
      </c>
      <c r="B13" s="49" t="s">
        <v>442</v>
      </c>
      <c r="C13" s="36" t="s">
        <v>443</v>
      </c>
      <c r="D13" s="36">
        <v>26</v>
      </c>
      <c r="E13" s="50">
        <v>85</v>
      </c>
      <c r="F13" s="51">
        <v>6.08</v>
      </c>
      <c r="G13" s="52" t="s">
        <v>424</v>
      </c>
      <c r="H13" s="36">
        <v>7.1999999999999995E-2</v>
      </c>
      <c r="I13" s="36">
        <v>0.11</v>
      </c>
      <c r="J13" s="36">
        <v>0.16</v>
      </c>
      <c r="K13" s="36">
        <v>0.2</v>
      </c>
      <c r="L13" s="36">
        <v>0.25</v>
      </c>
      <c r="M13" s="36">
        <v>0.28999999999999998</v>
      </c>
      <c r="N13" s="36">
        <v>0.34</v>
      </c>
      <c r="O13" s="36">
        <v>0.38</v>
      </c>
      <c r="P13" s="36">
        <v>0.43</v>
      </c>
      <c r="Q13" s="57">
        <v>0.48</v>
      </c>
    </row>
    <row r="14" spans="1:17" s="1" customFormat="1" ht="60" customHeight="1">
      <c r="A14" s="36" t="str">
        <f>_xlfn.DISPIMG("ID_5CC9410A25344B43AE9FB67548513827",1)</f>
        <v>=DISPIMG("ID_5CC9410A25344B43AE9FB67548513827",1)</v>
      </c>
      <c r="B14" s="49" t="s">
        <v>444</v>
      </c>
      <c r="C14" s="36" t="s">
        <v>445</v>
      </c>
      <c r="D14" s="36">
        <v>50</v>
      </c>
      <c r="E14" s="50">
        <v>120</v>
      </c>
      <c r="F14" s="51">
        <v>10.02</v>
      </c>
      <c r="G14" s="52" t="s">
        <v>424</v>
      </c>
      <c r="H14" s="36">
        <v>0.12</v>
      </c>
      <c r="I14" s="36">
        <v>0.18</v>
      </c>
      <c r="J14" s="36">
        <v>0.25</v>
      </c>
      <c r="K14" s="36">
        <v>0.31</v>
      </c>
      <c r="L14" s="36">
        <v>0.38</v>
      </c>
      <c r="M14" s="36">
        <v>0.44</v>
      </c>
      <c r="N14" s="36">
        <v>0.51</v>
      </c>
      <c r="O14" s="36">
        <v>0.56999999999999995</v>
      </c>
      <c r="P14" s="36">
        <v>0.64</v>
      </c>
      <c r="Q14" s="57">
        <v>0.7</v>
      </c>
    </row>
    <row r="15" spans="1:17" s="1" customFormat="1" ht="60" customHeight="1">
      <c r="A15" s="36" t="str">
        <f>_xlfn.DISPIMG("ID_AEECD5B4D64C40AE918E04F4767D340B",1)</f>
        <v>=DISPIMG("ID_AEECD5B4D64C40AE918E04F4767D340B",1)</v>
      </c>
      <c r="B15" s="49" t="s">
        <v>446</v>
      </c>
      <c r="C15" s="36" t="s">
        <v>445</v>
      </c>
      <c r="D15" s="36">
        <v>50</v>
      </c>
      <c r="E15" s="50">
        <v>120</v>
      </c>
      <c r="F15" s="51">
        <v>10.9</v>
      </c>
      <c r="G15" s="52" t="s">
        <v>424</v>
      </c>
      <c r="H15" s="36">
        <v>0.12</v>
      </c>
      <c r="I15" s="36">
        <v>0.18</v>
      </c>
      <c r="J15" s="36">
        <v>0.25</v>
      </c>
      <c r="K15" s="36">
        <v>0.31</v>
      </c>
      <c r="L15" s="36">
        <v>0.38</v>
      </c>
      <c r="M15" s="36">
        <v>0.44</v>
      </c>
      <c r="N15" s="36">
        <v>0.51</v>
      </c>
      <c r="O15" s="36">
        <v>0.56999999999999995</v>
      </c>
      <c r="P15" s="36">
        <v>0.64</v>
      </c>
      <c r="Q15" s="57">
        <v>0.7</v>
      </c>
    </row>
    <row r="16" spans="1:17" s="1" customFormat="1" ht="60" customHeight="1">
      <c r="A16" s="36" t="str">
        <f>_xlfn.DISPIMG("ID_039ECE7408C84993909D239E50AAA4C0",1)</f>
        <v>=DISPIMG("ID_039ECE7408C84993909D239E50AAA4C0",1)</v>
      </c>
      <c r="B16" s="49" t="s">
        <v>447</v>
      </c>
      <c r="C16" s="36" t="s">
        <v>448</v>
      </c>
      <c r="D16" s="36"/>
      <c r="E16" s="50">
        <v>260</v>
      </c>
      <c r="F16" s="51"/>
      <c r="G16" s="52" t="s">
        <v>424</v>
      </c>
      <c r="H16" s="36">
        <v>0.2</v>
      </c>
      <c r="I16" s="36">
        <v>0.31</v>
      </c>
      <c r="J16" s="36">
        <v>0.42</v>
      </c>
      <c r="K16" s="36">
        <v>0.52</v>
      </c>
      <c r="L16" s="36">
        <v>0.63</v>
      </c>
      <c r="M16" s="36">
        <v>0.74</v>
      </c>
      <c r="N16" s="36">
        <v>0.85</v>
      </c>
      <c r="O16" s="36">
        <v>0.96</v>
      </c>
      <c r="P16" s="36">
        <v>1.06</v>
      </c>
      <c r="Q16" s="57">
        <v>1.17</v>
      </c>
    </row>
    <row r="17" spans="1:17" s="1" customFormat="1" ht="60" customHeight="1">
      <c r="A17" s="36" t="str">
        <f>_xlfn.DISPIMG("ID_0E52690A62EC4FC9BAA4FB92A1CFBF65",1)</f>
        <v>=DISPIMG("ID_0E52690A62EC4FC9BAA4FB92A1CFBF65",1)</v>
      </c>
      <c r="B17" s="49" t="s">
        <v>449</v>
      </c>
      <c r="C17" s="36" t="s">
        <v>450</v>
      </c>
      <c r="D17" s="36">
        <v>26</v>
      </c>
      <c r="E17" s="50">
        <v>165</v>
      </c>
      <c r="F17" s="51">
        <v>13.44</v>
      </c>
      <c r="G17" s="52" t="s">
        <v>424</v>
      </c>
      <c r="H17" s="36">
        <v>0.14000000000000001</v>
      </c>
      <c r="I17" s="36">
        <v>0.23</v>
      </c>
      <c r="J17" s="36">
        <v>0.32</v>
      </c>
      <c r="K17" s="36">
        <v>0.41</v>
      </c>
      <c r="L17" s="36">
        <v>0.5</v>
      </c>
      <c r="M17" s="36">
        <v>0.59</v>
      </c>
      <c r="N17" s="36">
        <v>0.68</v>
      </c>
      <c r="O17" s="36">
        <v>0.77</v>
      </c>
      <c r="P17" s="36">
        <v>0.86</v>
      </c>
      <c r="Q17" s="57">
        <v>0.96</v>
      </c>
    </row>
    <row r="18" spans="1:17" s="1" customFormat="1" ht="60" customHeight="1">
      <c r="A18" s="36" t="str">
        <f>_xlfn.DISPIMG("ID_0DBC77AC7E614234859DCA1331BF52D1",1)</f>
        <v>=DISPIMG("ID_0DBC77AC7E614234859DCA1331BF52D1",1)</v>
      </c>
      <c r="B18" s="49" t="s">
        <v>451</v>
      </c>
      <c r="C18" s="36" t="s">
        <v>452</v>
      </c>
      <c r="D18" s="36">
        <v>50</v>
      </c>
      <c r="E18" s="50">
        <v>260</v>
      </c>
      <c r="F18" s="51">
        <v>20.58</v>
      </c>
      <c r="G18" s="52" t="s">
        <v>424</v>
      </c>
      <c r="H18" s="36">
        <v>0.24</v>
      </c>
      <c r="I18" s="36">
        <v>0.37</v>
      </c>
      <c r="J18" s="36">
        <v>0.5</v>
      </c>
      <c r="K18" s="36">
        <v>0.63</v>
      </c>
      <c r="L18" s="36">
        <v>0.76</v>
      </c>
      <c r="M18" s="36">
        <v>0.89</v>
      </c>
      <c r="N18" s="36">
        <v>1.02</v>
      </c>
      <c r="O18" s="36">
        <v>1.1499999999999999</v>
      </c>
      <c r="P18" s="36">
        <v>1.28</v>
      </c>
      <c r="Q18" s="57">
        <v>1.41</v>
      </c>
    </row>
    <row r="19" spans="1:17" s="1" customFormat="1" ht="60" customHeight="1">
      <c r="A19" s="36" t="str">
        <f>_xlfn.DISPIMG("ID_75B79E951EF74ECCA9FD9DD8DADAA2D0",1)</f>
        <v>=DISPIMG("ID_75B79E951EF74ECCA9FD9DD8DADAA2D0",1)</v>
      </c>
      <c r="B19" s="49" t="s">
        <v>453</v>
      </c>
      <c r="C19" s="36" t="s">
        <v>452</v>
      </c>
      <c r="D19" s="36">
        <v>50</v>
      </c>
      <c r="E19" s="50">
        <v>260</v>
      </c>
      <c r="F19" s="51">
        <v>20.3</v>
      </c>
      <c r="G19" s="52" t="s">
        <v>424</v>
      </c>
      <c r="H19" s="36">
        <v>0.24</v>
      </c>
      <c r="I19" s="36">
        <v>0.37</v>
      </c>
      <c r="J19" s="36">
        <v>0.5</v>
      </c>
      <c r="K19" s="36">
        <v>0.63</v>
      </c>
      <c r="L19" s="36">
        <v>0.76</v>
      </c>
      <c r="M19" s="36">
        <v>0.89</v>
      </c>
      <c r="N19" s="36">
        <v>1.02</v>
      </c>
      <c r="O19" s="36">
        <v>1.1499999999999999</v>
      </c>
      <c r="P19" s="36">
        <v>1.28</v>
      </c>
      <c r="Q19" s="57">
        <v>1.41</v>
      </c>
    </row>
    <row r="20" spans="1:17" s="1" customFormat="1" ht="60" customHeight="1">
      <c r="A20" s="36" t="str">
        <f>_xlfn.DISPIMG("ID_C6222C5FCC314F5C9E1D93C0830695E1",1)</f>
        <v>=DISPIMG("ID_C6222C5FCC314F5C9E1D93C0830695E1",1)</v>
      </c>
      <c r="B20" s="49" t="s">
        <v>454</v>
      </c>
      <c r="C20" s="36" t="s">
        <v>455</v>
      </c>
      <c r="D20" s="36"/>
      <c r="E20" s="50">
        <v>135</v>
      </c>
      <c r="F20" s="51"/>
      <c r="G20" s="52" t="s">
        <v>432</v>
      </c>
      <c r="H20" s="36">
        <v>0.13</v>
      </c>
      <c r="I20" s="36">
        <v>0.24</v>
      </c>
      <c r="J20" s="36">
        <v>0.36</v>
      </c>
      <c r="K20" s="36">
        <v>0.47</v>
      </c>
      <c r="L20" s="36">
        <v>0.59</v>
      </c>
      <c r="M20" s="36">
        <v>0.7</v>
      </c>
      <c r="N20" s="36">
        <v>0.82</v>
      </c>
      <c r="O20" s="36">
        <v>0.93</v>
      </c>
      <c r="P20" s="36">
        <v>1.05</v>
      </c>
      <c r="Q20" s="57">
        <v>1.1599999999999999</v>
      </c>
    </row>
    <row r="21" spans="1:17" s="1" customFormat="1" ht="60" customHeight="1">
      <c r="A21" s="36" t="str">
        <f>_xlfn.DISPIMG("ID_B45E48103AA34FCDAF00901E85808A30",1)</f>
        <v>=DISPIMG("ID_B45E48103AA34FCDAF00901E85808A30",1)</v>
      </c>
      <c r="B21" s="49" t="s">
        <v>456</v>
      </c>
      <c r="C21" s="36" t="s">
        <v>455</v>
      </c>
      <c r="D21" s="36">
        <v>50</v>
      </c>
      <c r="E21" s="50">
        <v>155</v>
      </c>
      <c r="F21" s="51">
        <v>14.14</v>
      </c>
      <c r="G21" s="52" t="s">
        <v>432</v>
      </c>
      <c r="H21" s="36"/>
      <c r="I21" s="36"/>
      <c r="J21" s="36"/>
      <c r="K21" s="36"/>
      <c r="L21" s="36"/>
      <c r="M21" s="36"/>
      <c r="N21" s="36"/>
      <c r="O21" s="36"/>
      <c r="P21" s="36"/>
      <c r="Q21" s="57"/>
    </row>
    <row r="22" spans="1:17" s="1" customFormat="1" ht="60" customHeight="1">
      <c r="A22" s="36" t="str">
        <f>_xlfn.DISPIMG("ID_4EB113CE1A44421F8452E6F94A2CA6D7",1)</f>
        <v>=DISPIMG("ID_4EB113CE1A44421F8452E6F94A2CA6D7",1)</v>
      </c>
      <c r="B22" s="49" t="s">
        <v>457</v>
      </c>
      <c r="C22" s="36" t="s">
        <v>458</v>
      </c>
      <c r="D22" s="36">
        <v>50</v>
      </c>
      <c r="E22" s="50">
        <v>155</v>
      </c>
      <c r="F22" s="51">
        <v>12.04</v>
      </c>
      <c r="G22" s="52" t="s">
        <v>432</v>
      </c>
      <c r="H22" s="36"/>
      <c r="I22" s="36"/>
      <c r="J22" s="36"/>
      <c r="K22" s="36"/>
      <c r="L22" s="36"/>
      <c r="M22" s="36"/>
      <c r="N22" s="36"/>
      <c r="O22" s="36"/>
      <c r="P22" s="36"/>
      <c r="Q22" s="57"/>
    </row>
    <row r="23" spans="1:17" s="1" customFormat="1" ht="60" customHeight="1">
      <c r="A23" s="36" t="str">
        <f>_xlfn.DISPIMG("ID_7A8F8C98078E4991B75A7B4F557EA858",1)</f>
        <v>=DISPIMG("ID_7A8F8C98078E4991B75A7B4F557EA858",1)</v>
      </c>
      <c r="B23" s="49" t="s">
        <v>459</v>
      </c>
      <c r="C23" s="36" t="s">
        <v>460</v>
      </c>
      <c r="D23" s="36"/>
      <c r="E23" s="50">
        <v>160</v>
      </c>
      <c r="F23" s="51"/>
      <c r="G23" s="52" t="s">
        <v>432</v>
      </c>
      <c r="H23" s="36">
        <v>0.26</v>
      </c>
      <c r="I23" s="36">
        <v>0.38</v>
      </c>
      <c r="J23" s="36">
        <v>0.49</v>
      </c>
      <c r="K23" s="36">
        <v>0.6</v>
      </c>
      <c r="L23" s="36">
        <v>0.72</v>
      </c>
      <c r="M23" s="36">
        <v>0.83</v>
      </c>
      <c r="N23" s="36">
        <v>0.95</v>
      </c>
      <c r="O23" s="36">
        <v>1.06</v>
      </c>
      <c r="P23" s="36">
        <v>1.18</v>
      </c>
      <c r="Q23" s="57">
        <v>1.29</v>
      </c>
    </row>
    <row r="24" spans="1:17" s="1" customFormat="1" ht="60" customHeight="1">
      <c r="A24" s="36" t="str">
        <f>_xlfn.DISPIMG("ID_7F4427BBC2B8499BBBAEEBA85CF6D69F",1)</f>
        <v>=DISPIMG("ID_7F4427BBC2B8499BBBAEEBA85CF6D69F",1)</v>
      </c>
      <c r="B24" s="49" t="s">
        <v>461</v>
      </c>
      <c r="C24" s="36" t="s">
        <v>460</v>
      </c>
      <c r="D24" s="36">
        <v>50</v>
      </c>
      <c r="E24" s="50">
        <v>190</v>
      </c>
      <c r="F24" s="51">
        <v>17.98</v>
      </c>
      <c r="G24" s="52" t="s">
        <v>432</v>
      </c>
      <c r="H24" s="36"/>
      <c r="I24" s="36"/>
      <c r="J24" s="36"/>
      <c r="K24" s="36"/>
      <c r="L24" s="36"/>
      <c r="M24" s="36"/>
      <c r="N24" s="36"/>
      <c r="O24" s="36"/>
      <c r="P24" s="36"/>
      <c r="Q24" s="57"/>
    </row>
    <row r="25" spans="1:17" s="1" customFormat="1" ht="60" customHeight="1">
      <c r="A25" s="36" t="str">
        <f>_xlfn.DISPIMG("ID_51BC2D76B5D449E8B8D70C77CAE0807D",1)</f>
        <v>=DISPIMG("ID_51BC2D76B5D449E8B8D70C77CAE0807D",1)</v>
      </c>
      <c r="B25" s="49" t="s">
        <v>462</v>
      </c>
      <c r="C25" s="36"/>
      <c r="D25" s="36"/>
      <c r="E25" s="50">
        <v>275</v>
      </c>
      <c r="F25" s="51"/>
      <c r="G25" s="52" t="s">
        <v>432</v>
      </c>
      <c r="H25" s="36"/>
      <c r="I25" s="36"/>
      <c r="J25" s="36"/>
      <c r="K25" s="36"/>
      <c r="L25" s="36"/>
      <c r="M25" s="36"/>
      <c r="N25" s="36"/>
      <c r="O25" s="36"/>
      <c r="P25" s="36"/>
      <c r="Q25" s="57"/>
    </row>
    <row r="26" spans="1:17" s="1" customFormat="1" ht="60" customHeight="1">
      <c r="A26" s="36" t="str">
        <f>_xlfn.DISPIMG("ID_7B185E0933AD41D89B898C3E53DFB058",1)</f>
        <v>=DISPIMG("ID_7B185E0933AD41D89B898C3E53DFB058",1)</v>
      </c>
      <c r="B26" s="49" t="s">
        <v>463</v>
      </c>
      <c r="C26" s="36" t="s">
        <v>251</v>
      </c>
      <c r="D26" s="36">
        <v>50</v>
      </c>
      <c r="E26" s="50">
        <v>275</v>
      </c>
      <c r="F26" s="51">
        <v>27.24</v>
      </c>
      <c r="G26" s="52" t="s">
        <v>432</v>
      </c>
      <c r="H26" s="36">
        <v>0.25</v>
      </c>
      <c r="I26" s="36">
        <v>0.47</v>
      </c>
      <c r="J26" s="36">
        <v>0.69</v>
      </c>
      <c r="K26" s="36">
        <v>0.91</v>
      </c>
      <c r="L26" s="36">
        <v>1.1299999999999999</v>
      </c>
      <c r="M26" s="36">
        <v>1.35</v>
      </c>
      <c r="N26" s="36">
        <v>1.57</v>
      </c>
      <c r="O26" s="36">
        <v>1.79</v>
      </c>
      <c r="P26" s="36">
        <v>2</v>
      </c>
      <c r="Q26" s="57">
        <v>2.23</v>
      </c>
    </row>
    <row r="27" spans="1:17" s="1" customFormat="1" ht="60" customHeight="1">
      <c r="A27" s="36" t="str">
        <f>_xlfn.DISPIMG("ID_8351395745D04BC29C58608C982CAD2D",1)</f>
        <v>=DISPIMG("ID_8351395745D04BC29C58608C982CAD2D",1)</v>
      </c>
      <c r="B27" s="49" t="s">
        <v>464</v>
      </c>
      <c r="C27" s="36" t="s">
        <v>465</v>
      </c>
      <c r="D27" s="36">
        <v>50</v>
      </c>
      <c r="E27" s="50">
        <v>275</v>
      </c>
      <c r="F27" s="51">
        <v>21.72</v>
      </c>
      <c r="G27" s="52" t="s">
        <v>432</v>
      </c>
      <c r="H27" s="36">
        <v>0.28999999999999998</v>
      </c>
      <c r="I27" s="36">
        <v>0.51</v>
      </c>
      <c r="J27" s="36">
        <v>0.73</v>
      </c>
      <c r="K27" s="36">
        <v>0.95</v>
      </c>
      <c r="L27" s="36">
        <v>1.17</v>
      </c>
      <c r="M27" s="36">
        <v>1.39</v>
      </c>
      <c r="N27" s="36">
        <v>1.61</v>
      </c>
      <c r="O27" s="36">
        <v>1.83</v>
      </c>
      <c r="P27" s="36">
        <v>2.0499999999999998</v>
      </c>
      <c r="Q27" s="57">
        <v>2.27</v>
      </c>
    </row>
    <row r="28" spans="1:17" s="1" customFormat="1" ht="60" customHeight="1">
      <c r="A28" s="54" t="str">
        <f>_xlfn.DISPIMG("ID_BE859B05BA274BF6BDC2E6C8FB1576E1",1)</f>
        <v>=DISPIMG("ID_BE859B05BA274BF6BDC2E6C8FB1576E1",1)</v>
      </c>
      <c r="B28" s="49" t="s">
        <v>466</v>
      </c>
      <c r="C28" s="145" t="s">
        <v>467</v>
      </c>
      <c r="D28" s="36">
        <v>50</v>
      </c>
      <c r="E28" s="50">
        <v>275</v>
      </c>
      <c r="F28" s="51">
        <v>25</v>
      </c>
      <c r="G28" s="52" t="s">
        <v>432</v>
      </c>
      <c r="H28" s="36">
        <v>0.5</v>
      </c>
      <c r="I28" s="36">
        <v>0.72</v>
      </c>
      <c r="J28" s="36">
        <v>0.94</v>
      </c>
      <c r="K28" s="36">
        <v>1.1599999999999999</v>
      </c>
      <c r="L28" s="36">
        <v>1.38</v>
      </c>
      <c r="M28" s="36">
        <v>1.6</v>
      </c>
      <c r="N28" s="36">
        <v>1.82</v>
      </c>
      <c r="O28" s="36">
        <v>2.04</v>
      </c>
      <c r="P28" s="36">
        <v>2.2799999999999998</v>
      </c>
      <c r="Q28" s="57">
        <v>2.48</v>
      </c>
    </row>
    <row r="29" spans="1:17" s="1" customFormat="1" ht="60" customHeight="1">
      <c r="A29" s="145" t="str">
        <f>_xlfn.DISPIMG("ID_A3F3DB94797842569B169DD8C5FD3BD8",1)</f>
        <v>=DISPIMG("ID_A3F3DB94797842569B169DD8C5FD3BD8",1)</v>
      </c>
      <c r="B29" s="49" t="s">
        <v>468</v>
      </c>
      <c r="C29" s="146"/>
      <c r="D29" s="36">
        <v>50</v>
      </c>
      <c r="E29" s="50">
        <v>320</v>
      </c>
      <c r="F29" s="51">
        <v>30.5</v>
      </c>
      <c r="G29" s="52" t="s">
        <v>432</v>
      </c>
      <c r="H29" s="36"/>
      <c r="I29" s="36"/>
      <c r="J29" s="36"/>
      <c r="K29" s="36"/>
      <c r="L29" s="36"/>
      <c r="M29" s="36"/>
      <c r="N29" s="36"/>
      <c r="O29" s="36"/>
      <c r="P29" s="36"/>
      <c r="Q29" s="57"/>
    </row>
    <row r="30" spans="1:17" s="1" customFormat="1" ht="60" customHeight="1">
      <c r="A30" s="154"/>
      <c r="B30" s="45" t="s">
        <v>469</v>
      </c>
      <c r="C30" s="154"/>
      <c r="D30" s="36">
        <v>50</v>
      </c>
      <c r="E30" s="46">
        <v>330</v>
      </c>
      <c r="F30" s="51"/>
      <c r="G30" s="36" t="s">
        <v>470</v>
      </c>
      <c r="H30" s="36"/>
      <c r="I30" s="36"/>
      <c r="J30" s="36"/>
      <c r="K30" s="36"/>
      <c r="L30" s="36"/>
      <c r="M30" s="36"/>
      <c r="N30" s="36"/>
      <c r="O30" s="36"/>
      <c r="P30" s="36"/>
      <c r="Q30" s="57"/>
    </row>
    <row r="31" spans="1:17" s="1" customFormat="1" ht="60" customHeight="1">
      <c r="A31" s="36" t="str">
        <f>_xlfn.DISPIMG("ID_F1F6993D18C74C0C862FD2716EF3E768",1)</f>
        <v>=DISPIMG("ID_F1F6993D18C74C0C862FD2716EF3E768",1)</v>
      </c>
      <c r="B31" s="49" t="s">
        <v>471</v>
      </c>
      <c r="C31" s="36" t="s">
        <v>472</v>
      </c>
      <c r="D31" s="36">
        <v>55</v>
      </c>
      <c r="E31" s="50">
        <v>340</v>
      </c>
      <c r="F31" s="51">
        <v>26</v>
      </c>
      <c r="G31" s="52" t="s">
        <v>432</v>
      </c>
      <c r="H31" s="56">
        <v>0.43</v>
      </c>
      <c r="I31" s="56">
        <v>0.57999999999999996</v>
      </c>
      <c r="J31" s="56">
        <v>0.73</v>
      </c>
      <c r="K31" s="56">
        <v>0.88</v>
      </c>
      <c r="L31" s="56">
        <v>1.03</v>
      </c>
      <c r="M31" s="56">
        <v>1.18</v>
      </c>
      <c r="N31" s="56">
        <v>1.33</v>
      </c>
      <c r="O31" s="56">
        <v>1.48</v>
      </c>
      <c r="P31" s="56">
        <v>1.63</v>
      </c>
      <c r="Q31" s="59">
        <v>1.78</v>
      </c>
    </row>
  </sheetData>
  <mergeCells count="10">
    <mergeCell ref="C2:C3"/>
    <mergeCell ref="C6:C7"/>
    <mergeCell ref="C9:C10"/>
    <mergeCell ref="C11:C12"/>
    <mergeCell ref="C28:C30"/>
    <mergeCell ref="A2:A3"/>
    <mergeCell ref="A6:A7"/>
    <mergeCell ref="A9:A10"/>
    <mergeCell ref="A11:A12"/>
    <mergeCell ref="A29:A30"/>
  </mergeCells>
  <pageMargins left="0.75" right="0.75" top="1" bottom="1" header="0.5" footer="0.5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O24"/>
  <sheetViews>
    <sheetView topLeftCell="A5" workbookViewId="0">
      <selection activeCell="J18" sqref="J18"/>
    </sheetView>
  </sheetViews>
  <sheetFormatPr defaultColWidth="9" defaultRowHeight="14.5"/>
  <cols>
    <col min="1" max="1" width="67.90625" customWidth="1"/>
    <col min="2" max="2" width="15.90625" customWidth="1"/>
    <col min="3" max="3" width="17.6328125" customWidth="1"/>
    <col min="4" max="4" width="12.7265625" customWidth="1"/>
    <col min="5" max="5" width="2.6328125" style="18" customWidth="1"/>
    <col min="6" max="6" width="45" customWidth="1"/>
    <col min="8" max="8" width="30.36328125" customWidth="1"/>
    <col min="12" max="12" width="16.26953125" customWidth="1"/>
    <col min="14" max="14" width="12.453125" customWidth="1"/>
    <col min="15" max="15" width="7.90625" customWidth="1"/>
  </cols>
  <sheetData>
    <row r="1" spans="1:15" ht="46.5" customHeight="1">
      <c r="A1" s="169" t="s">
        <v>473</v>
      </c>
      <c r="B1" s="170"/>
      <c r="C1" s="170"/>
      <c r="D1" s="170"/>
      <c r="F1" s="169" t="s">
        <v>474</v>
      </c>
      <c r="G1" s="170"/>
      <c r="H1" s="170"/>
      <c r="I1" s="170"/>
      <c r="J1" s="170"/>
      <c r="K1" s="170"/>
      <c r="L1" s="170"/>
      <c r="M1" s="170"/>
      <c r="N1" s="170"/>
    </row>
    <row r="2" spans="1:15" ht="46.5" customHeight="1">
      <c r="A2" s="19" t="s">
        <v>475</v>
      </c>
      <c r="B2" s="19"/>
      <c r="C2" s="19" t="s">
        <v>476</v>
      </c>
      <c r="D2" s="20" t="s">
        <v>477</v>
      </c>
      <c r="F2" s="19" t="s">
        <v>475</v>
      </c>
      <c r="G2" s="19" t="s">
        <v>478</v>
      </c>
      <c r="H2" s="19" t="s">
        <v>479</v>
      </c>
      <c r="I2" s="19" t="s">
        <v>480</v>
      </c>
      <c r="J2" s="19" t="s">
        <v>481</v>
      </c>
      <c r="K2" s="19" t="s">
        <v>482</v>
      </c>
      <c r="L2" s="19" t="s">
        <v>483</v>
      </c>
      <c r="M2" s="20" t="s">
        <v>477</v>
      </c>
      <c r="N2" s="20" t="s">
        <v>476</v>
      </c>
    </row>
    <row r="3" spans="1:15" ht="46.5" customHeight="1">
      <c r="A3" s="19" t="s">
        <v>484</v>
      </c>
      <c r="B3" s="180" t="s">
        <v>485</v>
      </c>
      <c r="C3" s="19">
        <v>8</v>
      </c>
      <c r="D3" s="19">
        <v>1</v>
      </c>
      <c r="F3" s="19" t="s">
        <v>486</v>
      </c>
      <c r="G3" s="180" t="s">
        <v>487</v>
      </c>
      <c r="H3" s="19">
        <v>2.5</v>
      </c>
      <c r="I3" s="19">
        <v>3</v>
      </c>
      <c r="J3" s="19">
        <v>3.7</v>
      </c>
      <c r="K3" s="19">
        <v>5</v>
      </c>
      <c r="L3" s="19"/>
      <c r="M3" s="19">
        <v>1</v>
      </c>
      <c r="N3" s="19">
        <v>4</v>
      </c>
    </row>
    <row r="4" spans="1:15" ht="46.5" customHeight="1">
      <c r="A4" s="19" t="s">
        <v>488</v>
      </c>
      <c r="B4" s="180"/>
      <c r="C4" s="19">
        <v>9</v>
      </c>
      <c r="D4" s="19">
        <v>2</v>
      </c>
      <c r="F4" s="19" t="s">
        <v>489</v>
      </c>
      <c r="G4" s="180"/>
      <c r="H4" s="19">
        <v>2.5</v>
      </c>
      <c r="I4" s="19">
        <v>3</v>
      </c>
      <c r="J4" s="19">
        <v>3.7</v>
      </c>
      <c r="K4" s="19">
        <v>5</v>
      </c>
      <c r="L4" s="19"/>
      <c r="M4" s="19">
        <v>2.5</v>
      </c>
      <c r="N4" s="19">
        <v>4</v>
      </c>
    </row>
    <row r="5" spans="1:15" ht="46.5" customHeight="1">
      <c r="A5" s="19" t="s">
        <v>490</v>
      </c>
      <c r="B5" s="180"/>
      <c r="C5" s="19">
        <v>10</v>
      </c>
      <c r="D5" s="19">
        <v>2.5</v>
      </c>
      <c r="F5" s="19" t="s">
        <v>491</v>
      </c>
      <c r="G5" s="180"/>
      <c r="H5" s="19">
        <v>2.5</v>
      </c>
      <c r="I5" s="19">
        <v>3</v>
      </c>
      <c r="J5" s="19">
        <v>3.7</v>
      </c>
      <c r="K5" s="19">
        <v>5</v>
      </c>
      <c r="L5" s="19"/>
      <c r="M5" s="19">
        <v>4</v>
      </c>
      <c r="N5" s="19">
        <v>4</v>
      </c>
    </row>
    <row r="6" spans="1:15" ht="46.5" customHeight="1">
      <c r="A6" s="19" t="s">
        <v>492</v>
      </c>
      <c r="B6" s="180"/>
      <c r="C6" s="19">
        <v>13</v>
      </c>
      <c r="D6" s="19">
        <v>3</v>
      </c>
      <c r="F6" s="19" t="s">
        <v>493</v>
      </c>
      <c r="G6" s="180"/>
      <c r="H6" s="19">
        <v>3.5</v>
      </c>
      <c r="I6" s="19">
        <v>5</v>
      </c>
      <c r="J6" s="19">
        <v>6</v>
      </c>
      <c r="K6" s="19">
        <v>6.5</v>
      </c>
      <c r="L6" s="19"/>
      <c r="M6" s="19">
        <v>4.5</v>
      </c>
      <c r="N6" s="19">
        <v>4</v>
      </c>
    </row>
    <row r="7" spans="1:15" ht="46.5" customHeight="1">
      <c r="A7" s="19" t="s">
        <v>494</v>
      </c>
      <c r="B7" s="180"/>
      <c r="C7" s="19">
        <v>28</v>
      </c>
      <c r="D7" s="19">
        <v>8</v>
      </c>
      <c r="F7" s="19" t="s">
        <v>495</v>
      </c>
      <c r="G7" s="180"/>
      <c r="H7" s="19">
        <v>3</v>
      </c>
      <c r="I7" s="19">
        <v>4</v>
      </c>
      <c r="J7" s="19">
        <v>5</v>
      </c>
      <c r="K7" s="19">
        <v>6</v>
      </c>
      <c r="L7" s="19"/>
      <c r="M7" s="19">
        <v>3</v>
      </c>
      <c r="N7" s="19">
        <v>4</v>
      </c>
    </row>
    <row r="8" spans="1:15" ht="46.5" customHeight="1">
      <c r="A8" s="171" t="s">
        <v>496</v>
      </c>
      <c r="B8" s="171"/>
      <c r="C8" s="171"/>
      <c r="D8" s="171"/>
      <c r="F8" s="19" t="s">
        <v>497</v>
      </c>
      <c r="G8" s="180"/>
      <c r="H8" s="19">
        <v>3</v>
      </c>
      <c r="I8" s="19">
        <v>4</v>
      </c>
      <c r="J8" s="19">
        <v>5</v>
      </c>
      <c r="K8" s="19">
        <v>6</v>
      </c>
      <c r="L8" s="19"/>
      <c r="M8" s="19">
        <v>1.5</v>
      </c>
      <c r="N8" s="19">
        <v>4</v>
      </c>
    </row>
    <row r="9" spans="1:15" ht="18.5">
      <c r="F9" s="19" t="s">
        <v>498</v>
      </c>
      <c r="G9" s="180"/>
      <c r="H9" s="19">
        <v>15</v>
      </c>
      <c r="I9" s="19">
        <v>15</v>
      </c>
      <c r="J9" s="19">
        <v>28</v>
      </c>
      <c r="K9" s="19">
        <v>41</v>
      </c>
      <c r="L9" s="19"/>
      <c r="M9" s="19">
        <v>14</v>
      </c>
      <c r="N9" s="19"/>
    </row>
    <row r="10" spans="1:15" ht="18.5">
      <c r="F10" s="171" t="s">
        <v>499</v>
      </c>
      <c r="G10" s="171"/>
      <c r="H10" s="171"/>
      <c r="I10" s="171"/>
      <c r="J10" s="171"/>
      <c r="K10" s="171"/>
      <c r="L10" s="171"/>
      <c r="M10" s="171"/>
      <c r="N10" s="171"/>
    </row>
    <row r="11" spans="1:15" ht="25" customHeight="1">
      <c r="F11" s="172" t="s">
        <v>500</v>
      </c>
      <c r="G11" s="172"/>
      <c r="H11" s="172"/>
      <c r="I11" s="172"/>
      <c r="J11" s="172"/>
      <c r="K11" s="172"/>
      <c r="L11" s="172"/>
      <c r="M11" s="172"/>
      <c r="N11" s="172"/>
    </row>
    <row r="12" spans="1:15" s="18" customFormat="1"/>
    <row r="14" spans="1:15" ht="35.5">
      <c r="A14" s="173" t="s">
        <v>501</v>
      </c>
      <c r="B14" s="173"/>
      <c r="C14" s="21"/>
      <c r="F14" s="174" t="s">
        <v>502</v>
      </c>
      <c r="G14" s="174"/>
      <c r="H14" s="174"/>
      <c r="I14" s="174"/>
      <c r="J14" s="174"/>
      <c r="K14" s="174"/>
      <c r="L14" s="174"/>
      <c r="M14" s="174"/>
      <c r="N14" s="174"/>
      <c r="O14" s="174"/>
    </row>
    <row r="15" spans="1:15" ht="15.5">
      <c r="A15" s="22" t="s">
        <v>475</v>
      </c>
      <c r="B15" s="23" t="s">
        <v>503</v>
      </c>
      <c r="C15" s="24" t="s">
        <v>477</v>
      </c>
      <c r="F15" s="175" t="s">
        <v>504</v>
      </c>
      <c r="G15" s="175" t="s">
        <v>475</v>
      </c>
      <c r="H15" s="175"/>
      <c r="I15" s="34" t="s">
        <v>505</v>
      </c>
      <c r="J15" s="35" t="s">
        <v>479</v>
      </c>
      <c r="K15" s="35" t="s">
        <v>480</v>
      </c>
      <c r="L15" s="35" t="s">
        <v>481</v>
      </c>
      <c r="M15" s="35" t="s">
        <v>482</v>
      </c>
      <c r="N15" s="35"/>
      <c r="O15" s="10" t="s">
        <v>506</v>
      </c>
    </row>
    <row r="16" spans="1:15" ht="16.5">
      <c r="A16" s="26" t="s">
        <v>507</v>
      </c>
      <c r="B16" s="27">
        <v>4</v>
      </c>
      <c r="C16" s="28">
        <v>1</v>
      </c>
      <c r="F16" s="175"/>
      <c r="G16" s="172" t="s">
        <v>508</v>
      </c>
      <c r="H16" s="172"/>
      <c r="I16" s="181" t="s">
        <v>509</v>
      </c>
      <c r="J16" s="36">
        <v>2.2999999999999998</v>
      </c>
      <c r="K16" s="36">
        <v>2.8</v>
      </c>
      <c r="L16" s="36">
        <v>3.7</v>
      </c>
      <c r="M16" s="36">
        <v>5</v>
      </c>
      <c r="N16" s="36"/>
      <c r="O16" s="37" t="s">
        <v>510</v>
      </c>
    </row>
    <row r="17" spans="1:15" ht="55" customHeight="1">
      <c r="A17" s="29" t="s">
        <v>511</v>
      </c>
      <c r="B17" s="27">
        <v>5</v>
      </c>
      <c r="C17" s="28">
        <v>1.7</v>
      </c>
      <c r="F17" s="175"/>
      <c r="G17" s="172" t="s">
        <v>512</v>
      </c>
      <c r="H17" s="172"/>
      <c r="I17" s="181"/>
      <c r="J17" s="36">
        <v>2.2999999999999998</v>
      </c>
      <c r="K17" s="36">
        <v>2.8</v>
      </c>
      <c r="L17" s="36">
        <v>3.7</v>
      </c>
      <c r="M17" s="36">
        <v>5</v>
      </c>
      <c r="N17" s="36"/>
      <c r="O17" s="37" t="s">
        <v>513</v>
      </c>
    </row>
    <row r="18" spans="1:15" ht="42" customHeight="1">
      <c r="A18" s="30" t="s">
        <v>514</v>
      </c>
      <c r="B18" s="27">
        <v>5.5</v>
      </c>
      <c r="C18" s="28">
        <v>1.7</v>
      </c>
      <c r="F18" s="175"/>
      <c r="G18" s="172" t="s">
        <v>515</v>
      </c>
      <c r="H18" s="172"/>
      <c r="I18" s="181"/>
      <c r="J18" s="36">
        <v>2.2999999999999998</v>
      </c>
      <c r="K18" s="36">
        <v>2.8</v>
      </c>
      <c r="L18" s="36">
        <v>3.7</v>
      </c>
      <c r="M18" s="36">
        <v>5</v>
      </c>
      <c r="N18" s="36"/>
      <c r="O18" s="37" t="s">
        <v>516</v>
      </c>
    </row>
    <row r="19" spans="1:15" ht="16.5">
      <c r="A19" s="30" t="s">
        <v>517</v>
      </c>
      <c r="B19" s="27">
        <v>6</v>
      </c>
      <c r="C19" s="28">
        <v>1.7</v>
      </c>
      <c r="F19" s="175"/>
      <c r="G19" s="172" t="s">
        <v>518</v>
      </c>
      <c r="H19" s="172"/>
      <c r="I19" s="181"/>
      <c r="J19" s="36">
        <v>3.5</v>
      </c>
      <c r="K19" s="36">
        <v>4</v>
      </c>
      <c r="L19" s="36">
        <v>8</v>
      </c>
      <c r="M19" s="36">
        <v>12</v>
      </c>
      <c r="N19" s="36"/>
      <c r="O19" s="37" t="s">
        <v>519</v>
      </c>
    </row>
    <row r="20" spans="1:15" ht="16.5">
      <c r="A20" s="30" t="s">
        <v>520</v>
      </c>
      <c r="B20" s="27">
        <v>6</v>
      </c>
      <c r="C20" s="28">
        <v>2.6</v>
      </c>
      <c r="F20" s="175"/>
      <c r="G20" s="172" t="s">
        <v>521</v>
      </c>
      <c r="H20" s="172"/>
      <c r="I20" s="181"/>
      <c r="J20" s="36">
        <v>15</v>
      </c>
      <c r="K20" s="176" t="s">
        <v>522</v>
      </c>
      <c r="L20" s="177"/>
      <c r="M20" s="177"/>
      <c r="N20" s="177"/>
      <c r="O20" s="178"/>
    </row>
    <row r="21" spans="1:15" ht="79" customHeight="1">
      <c r="A21" s="30" t="s">
        <v>523</v>
      </c>
      <c r="B21" s="27">
        <v>18</v>
      </c>
      <c r="C21" s="28">
        <v>21</v>
      </c>
      <c r="F21" s="25" t="s">
        <v>524</v>
      </c>
      <c r="G21" s="179" t="s">
        <v>525</v>
      </c>
      <c r="H21" s="179"/>
      <c r="I21" s="179"/>
      <c r="J21" s="179"/>
      <c r="K21" s="179"/>
      <c r="L21" s="179"/>
      <c r="M21" s="179"/>
      <c r="N21" s="179"/>
      <c r="O21" s="179"/>
    </row>
    <row r="22" spans="1:15" ht="16.5">
      <c r="A22" s="30" t="s">
        <v>526</v>
      </c>
      <c r="B22" s="27">
        <v>12</v>
      </c>
      <c r="C22" s="28">
        <v>10</v>
      </c>
    </row>
    <row r="23" spans="1:15" ht="15">
      <c r="A23" s="31" t="s">
        <v>527</v>
      </c>
      <c r="B23" s="32">
        <v>18</v>
      </c>
      <c r="C23" s="33">
        <v>21</v>
      </c>
    </row>
    <row r="24" spans="1:15" ht="18.5">
      <c r="A24" s="171" t="s">
        <v>496</v>
      </c>
      <c r="B24" s="171"/>
      <c r="C24" s="171"/>
      <c r="D24" s="171"/>
    </row>
  </sheetData>
  <mergeCells count="20">
    <mergeCell ref="A24:D24"/>
    <mergeCell ref="B3:B7"/>
    <mergeCell ref="F15:F20"/>
    <mergeCell ref="G3:G9"/>
    <mergeCell ref="I16:I20"/>
    <mergeCell ref="G18:H18"/>
    <mergeCell ref="G19:H19"/>
    <mergeCell ref="G20:H20"/>
    <mergeCell ref="K20:O20"/>
    <mergeCell ref="G21:O21"/>
    <mergeCell ref="A14:B14"/>
    <mergeCell ref="F14:O14"/>
    <mergeCell ref="G15:H15"/>
    <mergeCell ref="G16:H16"/>
    <mergeCell ref="G17:H17"/>
    <mergeCell ref="A1:D1"/>
    <mergeCell ref="F1:N1"/>
    <mergeCell ref="A8:D8"/>
    <mergeCell ref="F10:N10"/>
    <mergeCell ref="F11:N11"/>
  </mergeCells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垫板-四脚-六脚</vt:lpstr>
      <vt:lpstr>平板九脚</vt:lpstr>
      <vt:lpstr>网格九脚</vt:lpstr>
      <vt:lpstr>网格川字</vt:lpstr>
      <vt:lpstr>网格田字</vt:lpstr>
      <vt:lpstr>网格双面</vt:lpstr>
      <vt:lpstr>吹塑</vt:lpstr>
      <vt:lpstr>防渗漏</vt:lpstr>
      <vt:lpstr>快递</vt:lpstr>
      <vt:lpstr>快运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Weihan Zu</dc:creator>
  <cp:lastModifiedBy>Weihan Zu</cp:lastModifiedBy>
  <dcterms:created xsi:type="dcterms:W3CDTF">2023-05-12T11:15:00Z</dcterms:created>
  <dcterms:modified xsi:type="dcterms:W3CDTF">2025-04-28T21:14:39Z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2052-12.1.0.20784</vt:lpwstr>
  </property>
  <property fmtid="{D5CDD505-2E9C-101B-9397-08002B2CF9AE}" pid="3" name="ICV">
    <vt:lpwstr>157B0959C9784B41A980DBD2F7F59D40_13</vt:lpwstr>
  </property>
</Properties>
</file>